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6.xml" ContentType="application/vnd.openxmlformats-officedocument.drawing+xml"/>
  <Override PartName="/xl/ctrlProps/ctrlProp51.xml" ContentType="application/vnd.ms-excel.controlpropertie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mc:AlternateContent xmlns:mc="http://schemas.openxmlformats.org/markup-compatibility/2006">
    <mc:Choice Requires="x15">
      <x15ac:absPath xmlns:x15ac="http://schemas.microsoft.com/office/spreadsheetml/2010/11/ac" url="https://d.docs.live.net/825515104f59045b/Dokumente Musik/Dokumente/2026/Excel/Versionen/"/>
    </mc:Choice>
  </mc:AlternateContent>
  <xr:revisionPtr revIDLastSave="11" documentId="8_{B02599BE-F1AF-4C20-BE5B-08E7F5D08B96}" xr6:coauthVersionLast="47" xr6:coauthVersionMax="47" xr10:uidLastSave="{D376BB27-7907-44B4-9B49-6D0A5A731FC2}"/>
  <bookViews>
    <workbookView xWindow="38280" yWindow="-120" windowWidth="29040" windowHeight="15720" tabRatio="825" activeTab="3" xr2:uid="{00000000-000D-0000-FFFF-FFFF00000000}"/>
    <workbookView visibility="hidden" xWindow="38280" yWindow="-120" windowWidth="29040" windowHeight="15720" firstSheet="1" activeTab="1" xr2:uid="{00000000-000D-0000-FFFF-FFFF01000000}"/>
  </bookViews>
  <sheets>
    <sheet name="KiZ-alleinerziehend" sheetId="25" r:id="rId1"/>
    <sheet name="SGB II alleinstehend -erziehend" sheetId="6" r:id="rId2"/>
    <sheet name="KiZ-Paare mit Kindern" sheetId="11" r:id="rId3"/>
    <sheet name="SGB II Paare m. und o. Kinder" sheetId="9" r:id="rId4"/>
    <sheet name="Hilfstabelle Absetzungen" sheetId="27" r:id="rId5"/>
    <sheet name="Hilfe RBS-Wechsel" sheetId="31" r:id="rId6"/>
    <sheet name="Wohng. 25 und 26" sheetId="32" r:id="rId7"/>
    <sheet name="Wohng. 23 und 24" sheetId="3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34" l="1"/>
  <c r="R55" i="34"/>
  <c r="O55" i="34"/>
  <c r="R54" i="34"/>
  <c r="O54" i="34"/>
  <c r="R53" i="34"/>
  <c r="O53" i="34"/>
  <c r="R52" i="34"/>
  <c r="O52" i="34"/>
  <c r="B52" i="34"/>
  <c r="B51" i="34"/>
  <c r="B50" i="34"/>
  <c r="B40" i="34"/>
  <c r="O37" i="34"/>
  <c r="N37" i="34"/>
  <c r="O36" i="34"/>
  <c r="N36" i="34"/>
  <c r="O35" i="34"/>
  <c r="N35" i="34"/>
  <c r="O34" i="34"/>
  <c r="N34" i="34"/>
  <c r="D34" i="34"/>
  <c r="B34" i="34"/>
  <c r="O33" i="34"/>
  <c r="N33" i="34"/>
  <c r="O32" i="34"/>
  <c r="B32" i="34"/>
  <c r="O31" i="34"/>
  <c r="N31" i="34"/>
  <c r="B31" i="34"/>
  <c r="O30" i="34"/>
  <c r="N30" i="34"/>
  <c r="B30" i="34"/>
  <c r="O29" i="34"/>
  <c r="N29" i="34"/>
  <c r="B29" i="34"/>
  <c r="O28" i="34"/>
  <c r="N28" i="34"/>
  <c r="O27" i="34"/>
  <c r="N27" i="34"/>
  <c r="O26" i="34"/>
  <c r="N26" i="34"/>
  <c r="B26" i="34"/>
  <c r="O25" i="34"/>
  <c r="N25" i="34"/>
  <c r="B25" i="34"/>
  <c r="O24" i="34"/>
  <c r="N24" i="34"/>
  <c r="B24" i="34"/>
  <c r="O23" i="34"/>
  <c r="N23" i="34"/>
  <c r="O22" i="34"/>
  <c r="N22" i="34"/>
  <c r="G22" i="34"/>
  <c r="F22" i="34"/>
  <c r="D22" i="34"/>
  <c r="O21" i="34"/>
  <c r="N21" i="34"/>
  <c r="D21" i="34"/>
  <c r="O20" i="34"/>
  <c r="N20" i="34"/>
  <c r="D20" i="34"/>
  <c r="O19" i="34"/>
  <c r="N19" i="34"/>
  <c r="D19" i="34"/>
  <c r="O18" i="34"/>
  <c r="N18" i="34"/>
  <c r="G18" i="34"/>
  <c r="F18" i="34"/>
  <c r="O17" i="34"/>
  <c r="N17" i="34"/>
  <c r="D17" i="34"/>
  <c r="Q14" i="34"/>
  <c r="Q13" i="34"/>
  <c r="Q12" i="34"/>
  <c r="Q11" i="34"/>
  <c r="AB10" i="34"/>
  <c r="AA10" i="34"/>
  <c r="Z10" i="34"/>
  <c r="Y10" i="34"/>
  <c r="X10" i="34"/>
  <c r="W10" i="34"/>
  <c r="V10" i="34"/>
  <c r="U10" i="34"/>
  <c r="T10" i="34"/>
  <c r="S10" i="34"/>
  <c r="Q10" i="34"/>
  <c r="AB9" i="34"/>
  <c r="AA9" i="34"/>
  <c r="Z9" i="34"/>
  <c r="Y9" i="34"/>
  <c r="X9" i="34"/>
  <c r="W9" i="34"/>
  <c r="V9" i="34"/>
  <c r="U9" i="34"/>
  <c r="T9" i="34"/>
  <c r="S9" i="34"/>
  <c r="Q9" i="34"/>
  <c r="AB8" i="34"/>
  <c r="AA8" i="34"/>
  <c r="Z8" i="34"/>
  <c r="Y8" i="34"/>
  <c r="X8" i="34"/>
  <c r="W8" i="34"/>
  <c r="V8" i="34"/>
  <c r="U8" i="34"/>
  <c r="T8" i="34"/>
  <c r="S8" i="34"/>
  <c r="Q8" i="34"/>
  <c r="AB7" i="34"/>
  <c r="AA7" i="34"/>
  <c r="Z7" i="34"/>
  <c r="Y7" i="34"/>
  <c r="X7" i="34"/>
  <c r="W7" i="34"/>
  <c r="V7" i="34"/>
  <c r="U7" i="34"/>
  <c r="T7" i="34"/>
  <c r="S7" i="34"/>
  <c r="AB6" i="34"/>
  <c r="AA6" i="34"/>
  <c r="Z6" i="34"/>
  <c r="Y6" i="34"/>
  <c r="X6" i="34"/>
  <c r="W6" i="34"/>
  <c r="V6" i="34"/>
  <c r="U6" i="34"/>
  <c r="T6" i="34"/>
  <c r="S6" i="34"/>
  <c r="AB5" i="34"/>
  <c r="AA5" i="34"/>
  <c r="Z5" i="34"/>
  <c r="Y5" i="34"/>
  <c r="X5" i="34"/>
  <c r="W5" i="34"/>
  <c r="V5" i="34"/>
  <c r="U5" i="34"/>
  <c r="T5" i="34"/>
  <c r="S5" i="34"/>
  <c r="AB2" i="34"/>
  <c r="AA2" i="34"/>
  <c r="Z2" i="34"/>
  <c r="Y2" i="34"/>
  <c r="X2" i="34"/>
  <c r="W2" i="34"/>
  <c r="V2" i="34"/>
  <c r="U2" i="34"/>
  <c r="T2" i="34"/>
  <c r="S2" i="34"/>
  <c r="AB1" i="34"/>
  <c r="AA1" i="34"/>
  <c r="Z1" i="34"/>
  <c r="Y1" i="34"/>
  <c r="X1" i="34"/>
  <c r="W1" i="34"/>
  <c r="V1" i="34"/>
  <c r="U1" i="34"/>
  <c r="T1" i="34"/>
  <c r="S1" i="34"/>
  <c r="M69" i="32"/>
  <c r="L69" i="32"/>
  <c r="K69" i="32"/>
  <c r="O59" i="32"/>
  <c r="R55" i="32"/>
  <c r="O55" i="32"/>
  <c r="R54" i="32"/>
  <c r="O54" i="32"/>
  <c r="R53" i="32"/>
  <c r="O53" i="32"/>
  <c r="R52" i="32"/>
  <c r="O52" i="32"/>
  <c r="B52" i="32"/>
  <c r="B51" i="32"/>
  <c r="B50" i="32"/>
  <c r="B40" i="32"/>
  <c r="O37" i="32"/>
  <c r="N37" i="32"/>
  <c r="O36" i="32"/>
  <c r="N36" i="32"/>
  <c r="O35" i="32"/>
  <c r="N35" i="32"/>
  <c r="O34" i="32"/>
  <c r="N34" i="32"/>
  <c r="D34" i="32"/>
  <c r="B34" i="32"/>
  <c r="O33" i="32"/>
  <c r="N33" i="32"/>
  <c r="O32" i="32"/>
  <c r="B32" i="32"/>
  <c r="O31" i="32"/>
  <c r="N31" i="32"/>
  <c r="B31" i="32"/>
  <c r="O30" i="32"/>
  <c r="N30" i="32"/>
  <c r="B30" i="32"/>
  <c r="O29" i="32"/>
  <c r="N29" i="32"/>
  <c r="B29" i="32"/>
  <c r="O28" i="32"/>
  <c r="N28" i="32"/>
  <c r="O27" i="32"/>
  <c r="N27" i="32"/>
  <c r="O26" i="32"/>
  <c r="N26" i="32"/>
  <c r="B26" i="32"/>
  <c r="O25" i="32"/>
  <c r="N25" i="32"/>
  <c r="B25" i="32"/>
  <c r="O24" i="32"/>
  <c r="N24" i="32"/>
  <c r="B24" i="32"/>
  <c r="O23" i="32"/>
  <c r="N23" i="32"/>
  <c r="O22" i="32"/>
  <c r="N22" i="32"/>
  <c r="G22" i="32"/>
  <c r="F22" i="32"/>
  <c r="D22" i="32"/>
  <c r="O21" i="32"/>
  <c r="N21" i="32"/>
  <c r="D21" i="32"/>
  <c r="O20" i="32"/>
  <c r="N20" i="32"/>
  <c r="D20" i="32"/>
  <c r="O19" i="32"/>
  <c r="N19" i="32"/>
  <c r="D19" i="32"/>
  <c r="O18" i="32"/>
  <c r="N18" i="32"/>
  <c r="G18" i="32"/>
  <c r="F18" i="32"/>
  <c r="O17" i="32"/>
  <c r="N17" i="32"/>
  <c r="D17" i="32"/>
  <c r="AB10" i="32"/>
  <c r="AA10" i="32"/>
  <c r="Z10" i="32"/>
  <c r="Y10" i="32"/>
  <c r="X10" i="32"/>
  <c r="W10" i="32"/>
  <c r="V10" i="32"/>
  <c r="U10" i="32"/>
  <c r="T10" i="32"/>
  <c r="S10" i="32"/>
  <c r="AB9" i="32"/>
  <c r="AA9" i="32"/>
  <c r="Z9" i="32"/>
  <c r="Y9" i="32"/>
  <c r="X9" i="32"/>
  <c r="W9" i="32"/>
  <c r="V9" i="32"/>
  <c r="U9" i="32"/>
  <c r="T9" i="32"/>
  <c r="S9" i="32"/>
  <c r="AB8" i="32"/>
  <c r="AA8" i="32"/>
  <c r="Z8" i="32"/>
  <c r="Y8" i="32"/>
  <c r="X8" i="32"/>
  <c r="W8" i="32"/>
  <c r="V8" i="32"/>
  <c r="U8" i="32"/>
  <c r="T8" i="32"/>
  <c r="S8" i="32"/>
  <c r="AB7" i="32"/>
  <c r="AA7" i="32"/>
  <c r="Z7" i="32"/>
  <c r="Y7" i="32"/>
  <c r="X7" i="32"/>
  <c r="W7" i="32"/>
  <c r="V7" i="32"/>
  <c r="U7" i="32"/>
  <c r="T7" i="32"/>
  <c r="S7" i="32"/>
  <c r="AB6" i="32"/>
  <c r="AA6" i="32"/>
  <c r="Z6" i="32"/>
  <c r="Y6" i="32"/>
  <c r="X6" i="32"/>
  <c r="W6" i="32"/>
  <c r="V6" i="32"/>
  <c r="U6" i="32"/>
  <c r="T6" i="32"/>
  <c r="S6" i="32"/>
  <c r="AB5" i="32"/>
  <c r="AA5" i="32"/>
  <c r="Z5" i="32"/>
  <c r="Y5" i="32"/>
  <c r="X5" i="32"/>
  <c r="W5" i="32"/>
  <c r="V5" i="32"/>
  <c r="U5" i="32"/>
  <c r="T5" i="32"/>
  <c r="S5" i="32"/>
  <c r="AB2" i="32"/>
  <c r="AA2" i="32"/>
  <c r="Z2" i="32"/>
  <c r="Y2" i="32"/>
  <c r="X2" i="32"/>
  <c r="W2" i="32"/>
  <c r="V2" i="32"/>
  <c r="U2" i="32"/>
  <c r="T2" i="32"/>
  <c r="S2" i="32"/>
  <c r="AB1" i="32"/>
  <c r="AA1" i="32"/>
  <c r="Z1" i="32"/>
  <c r="Y1" i="32"/>
  <c r="X1" i="32"/>
  <c r="W1" i="32"/>
  <c r="V1" i="32"/>
  <c r="U1" i="32"/>
  <c r="T1" i="32"/>
  <c r="S1" i="32"/>
  <c r="N35" i="31"/>
  <c r="K35" i="31"/>
  <c r="N34" i="31"/>
  <c r="K34" i="31"/>
  <c r="Q33" i="31"/>
  <c r="N33" i="31"/>
  <c r="K33" i="31"/>
  <c r="F33" i="31"/>
  <c r="E33" i="31"/>
  <c r="D33" i="31"/>
  <c r="C33" i="31"/>
  <c r="N32" i="31"/>
  <c r="K32" i="31"/>
  <c r="J30" i="31"/>
  <c r="F30" i="31"/>
  <c r="E30" i="31"/>
  <c r="D30" i="31"/>
  <c r="C30" i="31"/>
  <c r="J28" i="31"/>
  <c r="B27" i="31"/>
  <c r="J26" i="31"/>
  <c r="J24" i="31"/>
  <c r="E19" i="31"/>
  <c r="D19" i="31"/>
  <c r="C19" i="31"/>
  <c r="B19" i="31"/>
  <c r="E18" i="31"/>
  <c r="D18" i="31"/>
  <c r="C18" i="31"/>
  <c r="B18" i="31"/>
  <c r="E17" i="31"/>
  <c r="D17" i="31"/>
  <c r="C17" i="31"/>
  <c r="B17" i="31"/>
  <c r="E16" i="31"/>
  <c r="D16" i="31"/>
  <c r="C16" i="31"/>
  <c r="B16" i="31"/>
  <c r="E15" i="31"/>
  <c r="D15" i="31"/>
  <c r="C15" i="31"/>
  <c r="B15" i="31"/>
  <c r="G13" i="31"/>
  <c r="E13" i="31"/>
  <c r="D13" i="31"/>
  <c r="C13" i="31"/>
  <c r="B13" i="31"/>
  <c r="E12" i="31"/>
  <c r="D12" i="31"/>
  <c r="C12" i="31"/>
  <c r="B12" i="31"/>
  <c r="E11" i="31"/>
  <c r="D11" i="31"/>
  <c r="D8" i="31"/>
  <c r="G19" i="27"/>
  <c r="F19" i="27"/>
  <c r="E19" i="27"/>
  <c r="D19" i="27"/>
  <c r="C19" i="27"/>
  <c r="G16" i="27"/>
  <c r="F16" i="27"/>
  <c r="E16" i="27"/>
  <c r="D16" i="27"/>
  <c r="C16" i="27"/>
  <c r="B16" i="27"/>
  <c r="G15" i="27"/>
  <c r="F15" i="27"/>
  <c r="E15" i="27"/>
  <c r="D15" i="27"/>
  <c r="C15" i="27"/>
  <c r="G14" i="27"/>
  <c r="F14" i="27"/>
  <c r="E14" i="27"/>
  <c r="D14" i="27"/>
  <c r="C14" i="27"/>
  <c r="B14" i="27"/>
  <c r="B15" i="27" s="1"/>
  <c r="G12" i="27"/>
  <c r="F12" i="27"/>
  <c r="E12" i="27"/>
  <c r="D12" i="27"/>
  <c r="C12" i="27"/>
  <c r="B12" i="27"/>
  <c r="O94" i="9"/>
  <c r="N94" i="9" s="1"/>
  <c r="W58" i="9" s="1"/>
  <c r="K94" i="9"/>
  <c r="J94" i="9"/>
  <c r="I94" i="9"/>
  <c r="H94" i="9"/>
  <c r="G94" i="9"/>
  <c r="K77" i="9"/>
  <c r="J77" i="9"/>
  <c r="I77" i="9"/>
  <c r="H77" i="9"/>
  <c r="G77" i="9"/>
  <c r="F77" i="9"/>
  <c r="E77" i="9"/>
  <c r="K76" i="9"/>
  <c r="K78" i="9" s="1"/>
  <c r="K79" i="9" s="1"/>
  <c r="K80" i="9" s="1"/>
  <c r="J76" i="9"/>
  <c r="J78" i="9" s="1"/>
  <c r="I76" i="9"/>
  <c r="H76" i="9"/>
  <c r="G76" i="9"/>
  <c r="G78" i="9" s="1"/>
  <c r="G79" i="9" s="1"/>
  <c r="G80" i="9" s="1"/>
  <c r="A63" i="9"/>
  <c r="AD62" i="9"/>
  <c r="AC62" i="9"/>
  <c r="AB62" i="9"/>
  <c r="AA62" i="9"/>
  <c r="Z62" i="9"/>
  <c r="Y62" i="9"/>
  <c r="X62" i="9"/>
  <c r="W62" i="9"/>
  <c r="V62" i="9"/>
  <c r="U62" i="9"/>
  <c r="T62" i="9"/>
  <c r="S62" i="9"/>
  <c r="R62" i="9"/>
  <c r="Q62" i="9"/>
  <c r="P62" i="9"/>
  <c r="M62" i="9"/>
  <c r="L62" i="9"/>
  <c r="D62" i="9"/>
  <c r="C62" i="9"/>
  <c r="A62" i="9"/>
  <c r="K59" i="9"/>
  <c r="J59" i="9"/>
  <c r="I59" i="9"/>
  <c r="H59" i="9"/>
  <c r="G59" i="9"/>
  <c r="F59" i="9"/>
  <c r="E59" i="9"/>
  <c r="AC54" i="9"/>
  <c r="AB54" i="9"/>
  <c r="V46" i="9"/>
  <c r="T46" i="9"/>
  <c r="S46" i="9"/>
  <c r="R46" i="9"/>
  <c r="Q46" i="9"/>
  <c r="P46" i="9"/>
  <c r="O46" i="9"/>
  <c r="C46" i="9"/>
  <c r="U43" i="9"/>
  <c r="T43" i="9"/>
  <c r="S43" i="9"/>
  <c r="R43" i="9"/>
  <c r="Q43" i="9"/>
  <c r="P43" i="9"/>
  <c r="O43" i="9"/>
  <c r="Q40" i="9"/>
  <c r="K40" i="9"/>
  <c r="K41" i="9" s="1"/>
  <c r="J40" i="9"/>
  <c r="J41" i="9" s="1"/>
  <c r="I40" i="9"/>
  <c r="I41" i="9" s="1"/>
  <c r="H40" i="9"/>
  <c r="H41" i="9" s="1"/>
  <c r="G40" i="9"/>
  <c r="G41" i="9" s="1"/>
  <c r="K39" i="9"/>
  <c r="J39" i="9"/>
  <c r="I39" i="9"/>
  <c r="H39" i="9"/>
  <c r="G39" i="9"/>
  <c r="F39" i="9"/>
  <c r="E39" i="9"/>
  <c r="Q36" i="9"/>
  <c r="AF34" i="9"/>
  <c r="P30" i="9" s="1"/>
  <c r="Q30" i="9" s="1"/>
  <c r="Q34" i="9"/>
  <c r="AF32" i="9"/>
  <c r="P21" i="9" s="1"/>
  <c r="Q21" i="9" s="1"/>
  <c r="AF30" i="9"/>
  <c r="P15" i="9" s="1"/>
  <c r="Q15" i="9" s="1"/>
  <c r="AF28" i="9"/>
  <c r="P9" i="9" s="1"/>
  <c r="Q9" i="9" s="1"/>
  <c r="K28" i="9"/>
  <c r="T33" i="9" s="1"/>
  <c r="J28" i="9"/>
  <c r="Z50" i="9" s="1"/>
  <c r="I28" i="9"/>
  <c r="Y48" i="9" s="1"/>
  <c r="H28" i="9"/>
  <c r="X48" i="9" s="1"/>
  <c r="G28" i="9"/>
  <c r="W48" i="9" s="1"/>
  <c r="F28" i="9"/>
  <c r="F32" i="9" s="1"/>
  <c r="E28" i="9"/>
  <c r="U48" i="9" s="1"/>
  <c r="D28" i="9"/>
  <c r="T50" i="9" s="1"/>
  <c r="C28" i="9"/>
  <c r="S48" i="9" s="1"/>
  <c r="AF26" i="9"/>
  <c r="L17" i="9"/>
  <c r="K17" i="9"/>
  <c r="J17" i="9"/>
  <c r="I17" i="9"/>
  <c r="H17" i="9"/>
  <c r="G17" i="9"/>
  <c r="F17" i="9"/>
  <c r="E17" i="9"/>
  <c r="K15" i="9"/>
  <c r="J15" i="9"/>
  <c r="I15" i="9"/>
  <c r="H15" i="9"/>
  <c r="G15" i="9"/>
  <c r="F15" i="9"/>
  <c r="E15" i="9"/>
  <c r="Q6" i="9"/>
  <c r="K5" i="9"/>
  <c r="J5" i="9"/>
  <c r="I5" i="9"/>
  <c r="H5" i="9"/>
  <c r="G5" i="9"/>
  <c r="F5" i="9"/>
  <c r="E5" i="9"/>
  <c r="D5" i="9"/>
  <c r="C5" i="9"/>
  <c r="K4" i="9"/>
  <c r="S45" i="9" s="1"/>
  <c r="J4" i="9"/>
  <c r="J6" i="9" s="1"/>
  <c r="I4" i="9"/>
  <c r="I8" i="9" s="1"/>
  <c r="H4" i="9"/>
  <c r="H6" i="9" s="1"/>
  <c r="G4" i="9"/>
  <c r="O45" i="9" s="1"/>
  <c r="F4" i="9"/>
  <c r="N45" i="9" s="1"/>
  <c r="N46" i="9" s="1"/>
  <c r="E4" i="9"/>
  <c r="M45" i="9" s="1"/>
  <c r="M46" i="9" s="1"/>
  <c r="M2" i="9"/>
  <c r="AC1" i="9"/>
  <c r="AB1" i="9"/>
  <c r="AA1" i="9"/>
  <c r="Z1" i="9"/>
  <c r="Y1" i="9"/>
  <c r="X1" i="9"/>
  <c r="W1" i="9"/>
  <c r="G108" i="11"/>
  <c r="F108" i="11"/>
  <c r="E108" i="11"/>
  <c r="D108" i="11"/>
  <c r="C108" i="11"/>
  <c r="B108" i="11"/>
  <c r="G107" i="11"/>
  <c r="F107" i="11"/>
  <c r="E107" i="11"/>
  <c r="D107" i="11"/>
  <c r="C107" i="11"/>
  <c r="B107" i="11"/>
  <c r="G106" i="11"/>
  <c r="F106" i="11"/>
  <c r="E106" i="11"/>
  <c r="D106" i="11"/>
  <c r="C106" i="11"/>
  <c r="B106" i="11"/>
  <c r="G96" i="11"/>
  <c r="F96" i="11"/>
  <c r="E96" i="11"/>
  <c r="D96" i="11"/>
  <c r="C96" i="11"/>
  <c r="B96" i="11"/>
  <c r="G95" i="11"/>
  <c r="F95" i="11"/>
  <c r="E95" i="11"/>
  <c r="D95" i="11"/>
  <c r="C95" i="11"/>
  <c r="B95" i="11"/>
  <c r="G94" i="11"/>
  <c r="F94" i="11"/>
  <c r="E94" i="11"/>
  <c r="D94" i="11"/>
  <c r="C94" i="11"/>
  <c r="B94" i="11"/>
  <c r="B75" i="11"/>
  <c r="B74" i="11"/>
  <c r="V53" i="11"/>
  <c r="B53" i="11"/>
  <c r="V52" i="11"/>
  <c r="G52" i="11"/>
  <c r="F52" i="11"/>
  <c r="E52" i="11"/>
  <c r="D52" i="11"/>
  <c r="C52" i="11"/>
  <c r="B52" i="11"/>
  <c r="AC50" i="11"/>
  <c r="AC48" i="11"/>
  <c r="AC47" i="11"/>
  <c r="AC41" i="11"/>
  <c r="AC38" i="11"/>
  <c r="AC37" i="11"/>
  <c r="M12" i="11"/>
  <c r="M11" i="11"/>
  <c r="I9" i="11"/>
  <c r="H9" i="11"/>
  <c r="G9" i="11"/>
  <c r="F9" i="11"/>
  <c r="E9" i="11"/>
  <c r="D9" i="11"/>
  <c r="C9" i="11"/>
  <c r="O8" i="11"/>
  <c r="I5" i="11"/>
  <c r="I6" i="11" s="1"/>
  <c r="I10" i="11" s="1"/>
  <c r="F5" i="11"/>
  <c r="F6" i="11" s="1"/>
  <c r="F10" i="11" s="1"/>
  <c r="I4" i="11"/>
  <c r="H4" i="11"/>
  <c r="H5" i="11" s="1"/>
  <c r="H6" i="11" s="1"/>
  <c r="H10" i="11" s="1"/>
  <c r="G4" i="11"/>
  <c r="G5" i="11" s="1"/>
  <c r="G6" i="11" s="1"/>
  <c r="G10" i="11" s="1"/>
  <c r="F4" i="11"/>
  <c r="E4" i="11"/>
  <c r="E5" i="11" s="1"/>
  <c r="E6" i="11" s="1"/>
  <c r="E10" i="11" s="1"/>
  <c r="D4" i="11"/>
  <c r="C4" i="11"/>
  <c r="I3" i="11"/>
  <c r="H3" i="11"/>
  <c r="G3" i="11"/>
  <c r="F3" i="11"/>
  <c r="E3" i="11"/>
  <c r="D3" i="11"/>
  <c r="C3" i="11"/>
  <c r="B1" i="11"/>
  <c r="G104" i="11" s="1"/>
  <c r="J80" i="6"/>
  <c r="I80" i="6"/>
  <c r="H80" i="6"/>
  <c r="G80" i="6"/>
  <c r="J76" i="6"/>
  <c r="I76" i="6"/>
  <c r="H76" i="6"/>
  <c r="G76" i="6"/>
  <c r="F76" i="6"/>
  <c r="E76" i="6"/>
  <c r="D76" i="6"/>
  <c r="J75" i="6"/>
  <c r="I75" i="6"/>
  <c r="I77" i="6" s="1"/>
  <c r="H75" i="6"/>
  <c r="G75" i="6"/>
  <c r="F75" i="6"/>
  <c r="E75" i="6"/>
  <c r="E77" i="6" s="1"/>
  <c r="D75" i="6"/>
  <c r="J62" i="6"/>
  <c r="I62" i="6"/>
  <c r="H62" i="6"/>
  <c r="G62" i="6"/>
  <c r="F62" i="6"/>
  <c r="E62" i="6"/>
  <c r="D62" i="6"/>
  <c r="B62" i="6"/>
  <c r="L61" i="6"/>
  <c r="V58" i="6" s="1"/>
  <c r="AB57" i="6"/>
  <c r="AA57" i="6"/>
  <c r="A57" i="6"/>
  <c r="A56" i="6"/>
  <c r="Y49" i="6"/>
  <c r="X49" i="6"/>
  <c r="W49" i="6"/>
  <c r="V49" i="6"/>
  <c r="U49" i="6"/>
  <c r="T49" i="6"/>
  <c r="S49" i="6"/>
  <c r="R49" i="6"/>
  <c r="S44" i="6"/>
  <c r="R44" i="6"/>
  <c r="Q44" i="6"/>
  <c r="P44" i="6"/>
  <c r="O44" i="6"/>
  <c r="N44" i="6"/>
  <c r="M44" i="6"/>
  <c r="J34" i="6"/>
  <c r="I34" i="6"/>
  <c r="H34" i="6"/>
  <c r="G34" i="6"/>
  <c r="F34" i="6"/>
  <c r="E34" i="6"/>
  <c r="D34" i="6"/>
  <c r="AC32" i="6"/>
  <c r="O10" i="6" s="1"/>
  <c r="P10" i="6" s="1"/>
  <c r="S32" i="6"/>
  <c r="R32" i="6"/>
  <c r="Q32" i="6"/>
  <c r="P32" i="6"/>
  <c r="O32" i="6"/>
  <c r="N32" i="6"/>
  <c r="M32" i="6"/>
  <c r="L32" i="6"/>
  <c r="AC31" i="6"/>
  <c r="O20" i="6" s="1"/>
  <c r="P20" i="6" s="1"/>
  <c r="S31" i="6"/>
  <c r="R31" i="6"/>
  <c r="Q31" i="6"/>
  <c r="P31" i="6"/>
  <c r="O31" i="6"/>
  <c r="N31" i="6"/>
  <c r="M31" i="6"/>
  <c r="L31" i="6"/>
  <c r="AC30" i="6"/>
  <c r="O23" i="6" s="1"/>
  <c r="P23" i="6" s="1"/>
  <c r="AC29" i="6"/>
  <c r="O35" i="6" s="1"/>
  <c r="P35" i="6" s="1"/>
  <c r="AC27" i="6"/>
  <c r="AC26" i="6"/>
  <c r="J26" i="6"/>
  <c r="I26" i="6"/>
  <c r="H26" i="6"/>
  <c r="G26" i="6"/>
  <c r="F26" i="6"/>
  <c r="E26" i="6"/>
  <c r="D26" i="6"/>
  <c r="C26" i="6"/>
  <c r="AC25" i="6"/>
  <c r="O25" i="6"/>
  <c r="J25" i="6"/>
  <c r="Y50" i="6" s="1"/>
  <c r="I25" i="6"/>
  <c r="X50" i="6" s="1"/>
  <c r="H25" i="6"/>
  <c r="W51" i="6" s="1"/>
  <c r="G25" i="6"/>
  <c r="F25" i="6"/>
  <c r="U50" i="6" s="1"/>
  <c r="E25" i="6"/>
  <c r="T51" i="6" s="1"/>
  <c r="D25" i="6"/>
  <c r="S50" i="6" s="1"/>
  <c r="C25" i="6"/>
  <c r="R50" i="6" s="1"/>
  <c r="AC24" i="6"/>
  <c r="A24" i="6"/>
  <c r="AC23" i="6"/>
  <c r="C4" i="6" s="1"/>
  <c r="M42" i="6" s="1"/>
  <c r="K18" i="6"/>
  <c r="O16" i="6"/>
  <c r="P16" i="6" s="1"/>
  <c r="O14" i="6"/>
  <c r="P14" i="6" s="1"/>
  <c r="J14" i="6"/>
  <c r="I14" i="6"/>
  <c r="H14" i="6"/>
  <c r="G14" i="6"/>
  <c r="F14" i="6"/>
  <c r="E14" i="6"/>
  <c r="D14" i="6"/>
  <c r="J12" i="6"/>
  <c r="I12" i="6"/>
  <c r="H12" i="6"/>
  <c r="G12" i="6"/>
  <c r="F12" i="6"/>
  <c r="E12" i="6"/>
  <c r="D12" i="6"/>
  <c r="U9" i="6"/>
  <c r="T9" i="6"/>
  <c r="U8" i="6"/>
  <c r="T8" i="6"/>
  <c r="U7" i="6"/>
  <c r="T7" i="6"/>
  <c r="P7" i="6"/>
  <c r="U6" i="6"/>
  <c r="T6" i="6"/>
  <c r="U5" i="6"/>
  <c r="T5" i="6"/>
  <c r="J5" i="6"/>
  <c r="I5" i="6"/>
  <c r="H5" i="6"/>
  <c r="G5" i="6"/>
  <c r="F5" i="6"/>
  <c r="E5" i="6"/>
  <c r="D5" i="6"/>
  <c r="C5" i="6"/>
  <c r="U4" i="6"/>
  <c r="T4" i="6"/>
  <c r="Q4" i="6"/>
  <c r="P4" i="6"/>
  <c r="M4" i="6"/>
  <c r="L4" i="6"/>
  <c r="K4" i="6"/>
  <c r="S46" i="6" s="1"/>
  <c r="S45" i="6" s="1"/>
  <c r="J4" i="6"/>
  <c r="I4" i="6"/>
  <c r="Q46" i="6" s="1"/>
  <c r="Q45" i="6" s="1"/>
  <c r="H4" i="6"/>
  <c r="P46" i="6" s="1"/>
  <c r="P45" i="6" s="1"/>
  <c r="G4" i="6"/>
  <c r="F4" i="6"/>
  <c r="P42" i="6" s="1"/>
  <c r="E4" i="6"/>
  <c r="D4" i="6"/>
  <c r="N42" i="6" s="1"/>
  <c r="U2" i="6"/>
  <c r="T2" i="6"/>
  <c r="W1" i="6"/>
  <c r="J27" i="6" s="1"/>
  <c r="G121" i="25"/>
  <c r="F121" i="25"/>
  <c r="E121" i="25"/>
  <c r="D121" i="25"/>
  <c r="C121" i="25"/>
  <c r="B121" i="25"/>
  <c r="G120" i="25"/>
  <c r="F120" i="25"/>
  <c r="E120" i="25"/>
  <c r="D120" i="25"/>
  <c r="C120" i="25"/>
  <c r="B120" i="25"/>
  <c r="G111" i="25"/>
  <c r="F111" i="25"/>
  <c r="E111" i="25"/>
  <c r="D111" i="25"/>
  <c r="C111" i="25"/>
  <c r="G110" i="25"/>
  <c r="F110" i="25"/>
  <c r="E110" i="25"/>
  <c r="D110" i="25"/>
  <c r="C110" i="25"/>
  <c r="G109" i="25"/>
  <c r="F109" i="25"/>
  <c r="E109" i="25"/>
  <c r="D109" i="25"/>
  <c r="C109" i="25"/>
  <c r="G108" i="25"/>
  <c r="F108" i="25"/>
  <c r="E108" i="25"/>
  <c r="D108" i="25"/>
  <c r="C108" i="25"/>
  <c r="G107" i="25"/>
  <c r="F107" i="25"/>
  <c r="E107" i="25"/>
  <c r="D107" i="25"/>
  <c r="C107" i="25"/>
  <c r="G106" i="25"/>
  <c r="F106" i="25"/>
  <c r="E106" i="25"/>
  <c r="D106" i="25"/>
  <c r="C106" i="25"/>
  <c r="G104" i="25"/>
  <c r="F104" i="25"/>
  <c r="E104" i="25"/>
  <c r="D104" i="25"/>
  <c r="C104" i="25"/>
  <c r="Y88" i="25"/>
  <c r="X88" i="25"/>
  <c r="W88" i="25"/>
  <c r="Y86" i="25"/>
  <c r="X86" i="25"/>
  <c r="W86" i="25"/>
  <c r="V86" i="25"/>
  <c r="U86" i="25"/>
  <c r="Y84" i="25"/>
  <c r="X84" i="25"/>
  <c r="W84" i="25"/>
  <c r="V84" i="25"/>
  <c r="U84" i="25"/>
  <c r="Y83" i="25"/>
  <c r="X83" i="25"/>
  <c r="W83" i="25"/>
  <c r="V83" i="25"/>
  <c r="U83" i="25"/>
  <c r="Y82" i="25"/>
  <c r="X82" i="25"/>
  <c r="W82" i="25"/>
  <c r="V82" i="25"/>
  <c r="U82" i="25"/>
  <c r="Y81" i="25"/>
  <c r="X81" i="25"/>
  <c r="W81" i="25"/>
  <c r="V81" i="25"/>
  <c r="U81" i="25"/>
  <c r="B73" i="25"/>
  <c r="B72" i="25"/>
  <c r="H71" i="25"/>
  <c r="G71" i="25"/>
  <c r="F71" i="25"/>
  <c r="E71" i="25"/>
  <c r="D71" i="25"/>
  <c r="C71" i="25"/>
  <c r="B50" i="25"/>
  <c r="P49" i="25"/>
  <c r="O49" i="25"/>
  <c r="N49" i="25"/>
  <c r="M49" i="25"/>
  <c r="L49" i="25"/>
  <c r="K49" i="25"/>
  <c r="G49" i="25"/>
  <c r="F49" i="25"/>
  <c r="E49" i="25"/>
  <c r="D49" i="25"/>
  <c r="C49" i="25"/>
  <c r="B49" i="25"/>
  <c r="B43" i="25"/>
  <c r="I42" i="25"/>
  <c r="K31" i="25"/>
  <c r="K29" i="25"/>
  <c r="K28" i="25"/>
  <c r="K27" i="25"/>
  <c r="K25" i="25"/>
  <c r="K24" i="25"/>
  <c r="K23" i="25"/>
  <c r="K17" i="25"/>
  <c r="K16" i="25"/>
  <c r="K15" i="25"/>
  <c r="K14" i="25"/>
  <c r="K13" i="25"/>
  <c r="K12" i="25"/>
  <c r="K11" i="25"/>
  <c r="I8" i="25"/>
  <c r="H8" i="25"/>
  <c r="G8" i="25"/>
  <c r="F8" i="25"/>
  <c r="E8" i="25"/>
  <c r="D8" i="25"/>
  <c r="C8" i="25"/>
  <c r="I5" i="25"/>
  <c r="I10" i="25" s="1"/>
  <c r="AG45" i="25" s="1"/>
  <c r="I4" i="25"/>
  <c r="H4" i="25"/>
  <c r="H5" i="25" s="1"/>
  <c r="H10" i="25" s="1"/>
  <c r="AF45" i="25" s="1"/>
  <c r="G4" i="25"/>
  <c r="G5" i="25" s="1"/>
  <c r="G10" i="25" s="1"/>
  <c r="AE45" i="25" s="1"/>
  <c r="F4" i="25"/>
  <c r="F5" i="25" s="1"/>
  <c r="F10" i="25" s="1"/>
  <c r="AD45" i="25" s="1"/>
  <c r="E4" i="25"/>
  <c r="D4" i="25"/>
  <c r="C4" i="25"/>
  <c r="I3" i="25"/>
  <c r="H3" i="25"/>
  <c r="G3" i="25"/>
  <c r="F3" i="25"/>
  <c r="E3" i="25"/>
  <c r="D3" i="25"/>
  <c r="C3" i="25"/>
  <c r="B1" i="25"/>
  <c r="L18" i="9" l="1"/>
  <c r="V43" i="9"/>
  <c r="B3" i="11" s="1"/>
  <c r="L11" i="11" s="1"/>
  <c r="J77" i="6"/>
  <c r="J78" i="6" s="1"/>
  <c r="J79" i="6" s="1"/>
  <c r="T44" i="6"/>
  <c r="B3" i="25" s="1"/>
  <c r="D77" i="6"/>
  <c r="D78" i="6" s="1"/>
  <c r="D79" i="6" s="1"/>
  <c r="L16" i="9"/>
  <c r="E16" i="9" s="1"/>
  <c r="V1" i="9"/>
  <c r="AL2" i="9" s="1"/>
  <c r="P7" i="9"/>
  <c r="Q7" i="9" s="1"/>
  <c r="P8" i="9"/>
  <c r="Q8" i="9" s="1"/>
  <c r="B19" i="27"/>
  <c r="K17" i="6"/>
  <c r="K20" i="6" s="1"/>
  <c r="K19" i="6"/>
  <c r="U10" i="6"/>
  <c r="Z1" i="6" s="1"/>
  <c r="P11" i="9"/>
  <c r="Q11" i="9" s="1"/>
  <c r="P17" i="9"/>
  <c r="Q17" i="9" s="1"/>
  <c r="D32" i="9"/>
  <c r="W41" i="9"/>
  <c r="A25" i="11"/>
  <c r="T49" i="9"/>
  <c r="W50" i="9"/>
  <c r="P24" i="9"/>
  <c r="Q24" i="9" s="1"/>
  <c r="D26" i="11"/>
  <c r="D28" i="11" s="1"/>
  <c r="E39" i="11"/>
  <c r="L54" i="11" s="1"/>
  <c r="L55" i="11" s="1"/>
  <c r="P5" i="9"/>
  <c r="Q41" i="9"/>
  <c r="H32" i="9"/>
  <c r="L2" i="11"/>
  <c r="F26" i="11"/>
  <c r="T35" i="11" s="1"/>
  <c r="J32" i="9"/>
  <c r="K8" i="9"/>
  <c r="E92" i="11"/>
  <c r="L3" i="11"/>
  <c r="E26" i="11"/>
  <c r="S35" i="11" s="1"/>
  <c r="G6" i="9"/>
  <c r="P10" i="9"/>
  <c r="Q10" i="9" s="1"/>
  <c r="P16" i="9"/>
  <c r="Q16" i="9" s="1"/>
  <c r="P19" i="9"/>
  <c r="Q19" i="9" s="1"/>
  <c r="Z49" i="9"/>
  <c r="Z54" i="9" s="1"/>
  <c r="J8" i="9"/>
  <c r="P14" i="9"/>
  <c r="Q14" i="9" s="1"/>
  <c r="R41" i="9"/>
  <c r="H7" i="9"/>
  <c r="J7" i="9"/>
  <c r="X49" i="9"/>
  <c r="X56" i="9" s="1"/>
  <c r="D4" i="9"/>
  <c r="C4" i="9"/>
  <c r="G26" i="11"/>
  <c r="B26" i="11"/>
  <c r="A112" i="11"/>
  <c r="B104" i="11"/>
  <c r="C92" i="11"/>
  <c r="F104" i="11"/>
  <c r="D92" i="11"/>
  <c r="D39" i="11"/>
  <c r="E104" i="11"/>
  <c r="B92" i="11"/>
  <c r="C39" i="11"/>
  <c r="D104" i="11"/>
  <c r="P55" i="11"/>
  <c r="B39" i="11"/>
  <c r="C104" i="11"/>
  <c r="G92" i="11"/>
  <c r="G39" i="11"/>
  <c r="A100" i="11"/>
  <c r="F92" i="11"/>
  <c r="F39" i="11"/>
  <c r="A38" i="11"/>
  <c r="C26" i="11"/>
  <c r="I7" i="9"/>
  <c r="N33" i="9"/>
  <c r="E33" i="9" s="1"/>
  <c r="E47" i="9" s="1"/>
  <c r="E94" i="9" s="1"/>
  <c r="G8" i="9"/>
  <c r="S41" i="9"/>
  <c r="G7" i="9"/>
  <c r="T41" i="9"/>
  <c r="P45" i="9"/>
  <c r="H8" i="9"/>
  <c r="U50" i="9"/>
  <c r="U49" i="9"/>
  <c r="E32" i="9"/>
  <c r="AA50" i="9"/>
  <c r="AA49" i="9"/>
  <c r="K32" i="9"/>
  <c r="M47" i="9"/>
  <c r="S52" i="9" s="1"/>
  <c r="AA48" i="9"/>
  <c r="H78" i="9"/>
  <c r="H79" i="9" s="1"/>
  <c r="H80" i="9" s="1"/>
  <c r="AA58" i="9"/>
  <c r="U58" i="9"/>
  <c r="Z58" i="9"/>
  <c r="T58" i="9"/>
  <c r="Y58" i="9"/>
  <c r="S58" i="9"/>
  <c r="X58" i="9"/>
  <c r="V58" i="9"/>
  <c r="U41" i="9"/>
  <c r="I6" i="9"/>
  <c r="Q45" i="9"/>
  <c r="T54" i="9"/>
  <c r="U46" i="9"/>
  <c r="N47" i="9" s="1"/>
  <c r="T52" i="9" s="1"/>
  <c r="K33" i="9"/>
  <c r="K47" i="9" s="1"/>
  <c r="A27" i="9"/>
  <c r="P23" i="9"/>
  <c r="Q23" i="9" s="1"/>
  <c r="P20" i="9"/>
  <c r="Q20" i="9" s="1"/>
  <c r="P22" i="9"/>
  <c r="Q22" i="9" s="1"/>
  <c r="P29" i="9"/>
  <c r="Q29" i="9" s="1"/>
  <c r="P26" i="9"/>
  <c r="Q26" i="9" s="1"/>
  <c r="P27" i="9"/>
  <c r="Q27" i="9" s="1"/>
  <c r="P25" i="9"/>
  <c r="Q25" i="9" s="1"/>
  <c r="P28" i="9"/>
  <c r="Q28" i="9" s="1"/>
  <c r="K6" i="9"/>
  <c r="P13" i="9"/>
  <c r="Q13" i="9" s="1"/>
  <c r="M33" i="9"/>
  <c r="D33" i="9" s="1"/>
  <c r="S33" i="9"/>
  <c r="J33" i="9" s="1"/>
  <c r="V41" i="9"/>
  <c r="T48" i="9"/>
  <c r="Z48" i="9"/>
  <c r="W49" i="9"/>
  <c r="V50" i="9"/>
  <c r="J79" i="9"/>
  <c r="J80" i="9" s="1"/>
  <c r="G32" i="9"/>
  <c r="O33" i="9"/>
  <c r="F33" i="9" s="1"/>
  <c r="V48" i="9"/>
  <c r="S49" i="9"/>
  <c r="Y49" i="9"/>
  <c r="X50" i="9"/>
  <c r="P33" i="9"/>
  <c r="G33" i="9" s="1"/>
  <c r="G47" i="9" s="1"/>
  <c r="S50" i="9"/>
  <c r="Y50" i="9"/>
  <c r="T56" i="9"/>
  <c r="T60" i="9" s="1"/>
  <c r="K7" i="9"/>
  <c r="P12" i="9"/>
  <c r="Q12" i="9" s="1"/>
  <c r="P18" i="9"/>
  <c r="Q18" i="9" s="1"/>
  <c r="C32" i="9"/>
  <c r="I32" i="9"/>
  <c r="Q33" i="9"/>
  <c r="H33" i="9" s="1"/>
  <c r="R45" i="9"/>
  <c r="I78" i="9"/>
  <c r="I79" i="9" s="1"/>
  <c r="I80" i="9" s="1"/>
  <c r="L33" i="9"/>
  <c r="C33" i="9" s="1"/>
  <c r="C47" i="9" s="1"/>
  <c r="R33" i="9"/>
  <c r="I33" i="9" s="1"/>
  <c r="I47" i="9" s="1"/>
  <c r="V49" i="9"/>
  <c r="Y51" i="6"/>
  <c r="O19" i="6"/>
  <c r="P19" i="6" s="1"/>
  <c r="O17" i="6"/>
  <c r="P17" i="6" s="1"/>
  <c r="O18" i="6"/>
  <c r="P18" i="6" s="1"/>
  <c r="O22" i="6"/>
  <c r="P22" i="6" s="1"/>
  <c r="O9" i="6"/>
  <c r="P9" i="6" s="1"/>
  <c r="O11" i="6"/>
  <c r="P11" i="6" s="1"/>
  <c r="O21" i="6"/>
  <c r="P21" i="6" s="1"/>
  <c r="O24" i="6"/>
  <c r="P24" i="6" s="1"/>
  <c r="O8" i="6"/>
  <c r="P8" i="6" s="1"/>
  <c r="O13" i="6"/>
  <c r="P13" i="6" s="1"/>
  <c r="O12" i="6"/>
  <c r="P12" i="6" s="1"/>
  <c r="O5" i="6"/>
  <c r="X57" i="6"/>
  <c r="O15" i="6"/>
  <c r="P15" i="6" s="1"/>
  <c r="I27" i="6"/>
  <c r="I42" i="6" s="1"/>
  <c r="O27" i="6"/>
  <c r="P27" i="6" s="1"/>
  <c r="Q42" i="6"/>
  <c r="S51" i="6"/>
  <c r="C27" i="6"/>
  <c r="C42" i="6" s="1"/>
  <c r="O28" i="6"/>
  <c r="P28" i="6" s="1"/>
  <c r="I78" i="6"/>
  <c r="I79" i="6" s="1"/>
  <c r="C26" i="25"/>
  <c r="V51" i="6"/>
  <c r="V50" i="6"/>
  <c r="V57" i="6" s="1"/>
  <c r="U57" i="6"/>
  <c r="F26" i="25"/>
  <c r="A127" i="25"/>
  <c r="E26" i="25"/>
  <c r="A25" i="25"/>
  <c r="A102" i="25"/>
  <c r="D26" i="25"/>
  <c r="G26" i="25"/>
  <c r="A26" i="25"/>
  <c r="K4" i="25"/>
  <c r="O42" i="6"/>
  <c r="M46" i="6"/>
  <c r="M45" i="6" s="1"/>
  <c r="T58" i="6"/>
  <c r="Y58" i="6"/>
  <c r="S58" i="6"/>
  <c r="D27" i="6" s="1"/>
  <c r="D42" i="6" s="1"/>
  <c r="D80" i="6" s="1"/>
  <c r="X58" i="6"/>
  <c r="R58" i="6"/>
  <c r="W58" i="6"/>
  <c r="U58" i="6"/>
  <c r="N46" i="6"/>
  <c r="N45" i="6" s="1"/>
  <c r="B26" i="25"/>
  <c r="U51" i="6"/>
  <c r="U56" i="6" s="1"/>
  <c r="H27" i="6"/>
  <c r="O39" i="6"/>
  <c r="P39" i="6" s="1"/>
  <c r="L46" i="6"/>
  <c r="R46" i="6"/>
  <c r="R45" i="6" s="1"/>
  <c r="T50" i="6"/>
  <c r="R51" i="6"/>
  <c r="X51" i="6"/>
  <c r="S57" i="6"/>
  <c r="Y57" i="6"/>
  <c r="E27" i="6"/>
  <c r="J42" i="6"/>
  <c r="R42" i="6"/>
  <c r="O46" i="6"/>
  <c r="O45" i="6" s="1"/>
  <c r="W50" i="6"/>
  <c r="O26" i="6"/>
  <c r="P26" i="6" s="1"/>
  <c r="F27" i="6"/>
  <c r="O29" i="6"/>
  <c r="P29" i="6" s="1"/>
  <c r="O33" i="6"/>
  <c r="P33" i="6" s="1"/>
  <c r="S42" i="6"/>
  <c r="W57" i="6"/>
  <c r="E78" i="6"/>
  <c r="E79" i="6" s="1"/>
  <c r="G27" i="6"/>
  <c r="R57" i="6"/>
  <c r="F77" i="6"/>
  <c r="F78" i="6" s="1"/>
  <c r="F79" i="6" s="1"/>
  <c r="G77" i="6"/>
  <c r="G78" i="6" s="1"/>
  <c r="G79" i="6" s="1"/>
  <c r="H77" i="6"/>
  <c r="H78" i="6" s="1"/>
  <c r="H79" i="6" s="1"/>
  <c r="X60" i="9" l="1"/>
  <c r="Y52" i="9"/>
  <c r="Y53" i="9" s="1"/>
  <c r="L19" i="9"/>
  <c r="E20" i="9" s="1"/>
  <c r="E21" i="9" s="1"/>
  <c r="AK2" i="9"/>
  <c r="V2" i="9"/>
  <c r="AI2" i="9"/>
  <c r="K27" i="11"/>
  <c r="D27" i="11" s="1"/>
  <c r="R35" i="11"/>
  <c r="R37" i="11"/>
  <c r="F28" i="11"/>
  <c r="AG2" i="9"/>
  <c r="AM2" i="9"/>
  <c r="U2" i="9"/>
  <c r="AN2" i="9"/>
  <c r="AJ2" i="9"/>
  <c r="AF2" i="9"/>
  <c r="AH2" i="9"/>
  <c r="T37" i="11"/>
  <c r="Z2" i="6"/>
  <c r="D17" i="6"/>
  <c r="D18" i="6" s="1"/>
  <c r="C6" i="6" s="1"/>
  <c r="B11" i="25" s="1"/>
  <c r="D13" i="6"/>
  <c r="R1" i="6"/>
  <c r="U85" i="25" s="1"/>
  <c r="U87" i="25" s="1"/>
  <c r="T36" i="11"/>
  <c r="R36" i="11"/>
  <c r="J12" i="9"/>
  <c r="H12" i="9"/>
  <c r="V45" i="9"/>
  <c r="C8" i="9" s="1"/>
  <c r="M27" i="11"/>
  <c r="F27" i="11" s="1"/>
  <c r="S36" i="11"/>
  <c r="S45" i="11"/>
  <c r="S49" i="11" s="1"/>
  <c r="E40" i="11"/>
  <c r="G12" i="9"/>
  <c r="T61" i="9"/>
  <c r="T53" i="9"/>
  <c r="E28" i="11"/>
  <c r="S37" i="11"/>
  <c r="X54" i="9"/>
  <c r="X55" i="9" s="1"/>
  <c r="W52" i="9"/>
  <c r="W53" i="9" s="1"/>
  <c r="L27" i="11"/>
  <c r="E27" i="11" s="1"/>
  <c r="S38" i="11"/>
  <c r="I12" i="9"/>
  <c r="T38" i="11"/>
  <c r="Z56" i="9"/>
  <c r="Z60" i="9" s="1"/>
  <c r="K12" i="9"/>
  <c r="T55" i="9"/>
  <c r="F47" i="9"/>
  <c r="F94" i="9" s="1"/>
  <c r="C94" i="9" s="1"/>
  <c r="J47" i="9"/>
  <c r="Y54" i="9"/>
  <c r="Y56" i="9"/>
  <c r="Y60" i="9" s="1"/>
  <c r="D47" i="9"/>
  <c r="Z52" i="9"/>
  <c r="X52" i="9"/>
  <c r="C93" i="11"/>
  <c r="C97" i="11" s="1"/>
  <c r="E93" i="11"/>
  <c r="E97" i="11" s="1"/>
  <c r="D93" i="11"/>
  <c r="D97" i="11" s="1"/>
  <c r="B93" i="11"/>
  <c r="B97" i="11" s="1"/>
  <c r="G93" i="11"/>
  <c r="G97" i="11" s="1"/>
  <c r="F93" i="11"/>
  <c r="F97" i="11" s="1"/>
  <c r="V52" i="9"/>
  <c r="V53" i="9" s="1"/>
  <c r="U56" i="9"/>
  <c r="U60" i="9" s="1"/>
  <c r="U54" i="9"/>
  <c r="N54" i="11"/>
  <c r="N55" i="11" s="1"/>
  <c r="U45" i="11"/>
  <c r="G40" i="11"/>
  <c r="J54" i="11"/>
  <c r="J55" i="11" s="1"/>
  <c r="Q45" i="11"/>
  <c r="C40" i="11"/>
  <c r="U37" i="11"/>
  <c r="U36" i="11"/>
  <c r="U35" i="11"/>
  <c r="U38" i="11"/>
  <c r="G28" i="11"/>
  <c r="N27" i="11"/>
  <c r="G27" i="11" s="1"/>
  <c r="O41" i="9"/>
  <c r="B11" i="11"/>
  <c r="R38" i="11"/>
  <c r="R41" i="11" s="1"/>
  <c r="H47" i="9"/>
  <c r="U52" i="9"/>
  <c r="Q38" i="11"/>
  <c r="Q37" i="11"/>
  <c r="Q36" i="11"/>
  <c r="Q35" i="11"/>
  <c r="C28" i="11"/>
  <c r="J27" i="11"/>
  <c r="C27" i="11" s="1"/>
  <c r="P41" i="9"/>
  <c r="S53" i="9"/>
  <c r="S54" i="9"/>
  <c r="S56" i="9"/>
  <c r="S60" i="9" s="1"/>
  <c r="S61" i="9" s="1"/>
  <c r="W54" i="9"/>
  <c r="W56" i="9"/>
  <c r="W60" i="9" s="1"/>
  <c r="AA56" i="9"/>
  <c r="AA60" i="9" s="1"/>
  <c r="AA54" i="9"/>
  <c r="B105" i="11"/>
  <c r="B109" i="11" s="1"/>
  <c r="G105" i="11"/>
  <c r="G109" i="11" s="1"/>
  <c r="F105" i="11"/>
  <c r="F109" i="11" s="1"/>
  <c r="E105" i="11"/>
  <c r="E109" i="11" s="1"/>
  <c r="D105" i="11"/>
  <c r="D109" i="11" s="1"/>
  <c r="C105" i="11"/>
  <c r="C109" i="11" s="1"/>
  <c r="V56" i="9"/>
  <c r="V60" i="9" s="1"/>
  <c r="V54" i="9"/>
  <c r="AA52" i="9"/>
  <c r="AA53" i="9" s="1"/>
  <c r="S34" i="9"/>
  <c r="M54" i="11"/>
  <c r="M55" i="11" s="1"/>
  <c r="T45" i="11"/>
  <c r="F40" i="11"/>
  <c r="I54" i="11"/>
  <c r="I55" i="11" s="1"/>
  <c r="P45" i="11"/>
  <c r="B40" i="11"/>
  <c r="K54" i="11"/>
  <c r="K55" i="11" s="1"/>
  <c r="R45" i="11"/>
  <c r="D40" i="11"/>
  <c r="P38" i="11"/>
  <c r="P36" i="11"/>
  <c r="P35" i="11"/>
  <c r="B28" i="11"/>
  <c r="I27" i="11"/>
  <c r="B27" i="11" s="1"/>
  <c r="P37" i="11"/>
  <c r="Y56" i="6"/>
  <c r="X56" i="6"/>
  <c r="C122" i="25"/>
  <c r="G122" i="25"/>
  <c r="F122" i="25"/>
  <c r="E122" i="25"/>
  <c r="D122" i="25"/>
  <c r="B122" i="25"/>
  <c r="T42" i="6"/>
  <c r="W56" i="6"/>
  <c r="E42" i="6"/>
  <c r="E80" i="6" s="1"/>
  <c r="K50" i="25"/>
  <c r="K51" i="25" s="1"/>
  <c r="B113" i="25" s="1"/>
  <c r="T81" i="25"/>
  <c r="B27" i="25"/>
  <c r="D27" i="25"/>
  <c r="M50" i="25"/>
  <c r="M51" i="25" s="1"/>
  <c r="D113" i="25" s="1"/>
  <c r="C119" i="25"/>
  <c r="B119" i="25"/>
  <c r="G119" i="25"/>
  <c r="D119" i="25"/>
  <c r="F119" i="25"/>
  <c r="E119" i="25"/>
  <c r="F42" i="6"/>
  <c r="F80" i="6" s="1"/>
  <c r="E9" i="25"/>
  <c r="D9" i="25"/>
  <c r="I9" i="25"/>
  <c r="C9" i="25"/>
  <c r="F9" i="25"/>
  <c r="H9" i="25"/>
  <c r="G9" i="25"/>
  <c r="C112" i="25"/>
  <c r="G112" i="25"/>
  <c r="D112" i="25"/>
  <c r="F112" i="25"/>
  <c r="E112" i="25"/>
  <c r="R56" i="6"/>
  <c r="B79" i="6"/>
  <c r="G42" i="6"/>
  <c r="P50" i="25"/>
  <c r="P51" i="25" s="1"/>
  <c r="G113" i="25" s="1"/>
  <c r="G27" i="25"/>
  <c r="E27" i="25"/>
  <c r="N50" i="25"/>
  <c r="N51" i="25" s="1"/>
  <c r="E113" i="25" s="1"/>
  <c r="L50" i="25"/>
  <c r="L51" i="25" s="1"/>
  <c r="C113" i="25" s="1"/>
  <c r="C27" i="25"/>
  <c r="T57" i="6"/>
  <c r="T56" i="6" s="1"/>
  <c r="H42" i="6"/>
  <c r="S56" i="6"/>
  <c r="T46" i="6"/>
  <c r="L45" i="6"/>
  <c r="F27" i="25"/>
  <c r="O50" i="25"/>
  <c r="O51" i="25" s="1"/>
  <c r="F113" i="25" s="1"/>
  <c r="V56" i="6"/>
  <c r="K34" i="9" l="1"/>
  <c r="K36" i="9" s="1"/>
  <c r="K50" i="9" s="1"/>
  <c r="T22" i="11" s="1"/>
  <c r="T23" i="11" s="1"/>
  <c r="T24" i="11" s="1"/>
  <c r="R42" i="11"/>
  <c r="Y41" i="11" s="1"/>
  <c r="U55" i="9"/>
  <c r="J8" i="6"/>
  <c r="J9" i="6"/>
  <c r="J10" i="6"/>
  <c r="I9" i="6"/>
  <c r="I8" i="6"/>
  <c r="I10" i="6"/>
  <c r="H8" i="6"/>
  <c r="H9" i="6"/>
  <c r="H10" i="6"/>
  <c r="G9" i="6"/>
  <c r="G10" i="6"/>
  <c r="G8" i="6"/>
  <c r="Y61" i="9"/>
  <c r="W61" i="9"/>
  <c r="D34" i="9"/>
  <c r="D36" i="9" s="1"/>
  <c r="D50" i="9" s="1"/>
  <c r="D51" i="9" s="1"/>
  <c r="T42" i="11"/>
  <c r="AA41" i="11" s="1"/>
  <c r="S42" i="11"/>
  <c r="Z41" i="11" s="1"/>
  <c r="B80" i="6"/>
  <c r="W85" i="25"/>
  <c r="W87" i="25" s="1"/>
  <c r="M106" i="25" s="1"/>
  <c r="V85" i="25"/>
  <c r="V87" i="25" s="1"/>
  <c r="L107" i="25" s="1"/>
  <c r="X85" i="25"/>
  <c r="X87" i="25" s="1"/>
  <c r="N111" i="25" s="1"/>
  <c r="N112" i="25" s="1"/>
  <c r="Y85" i="25"/>
  <c r="Y87" i="25" s="1"/>
  <c r="O110" i="25" s="1"/>
  <c r="F8" i="9"/>
  <c r="F7" i="9"/>
  <c r="F6" i="9"/>
  <c r="T41" i="11"/>
  <c r="W61" i="11" s="1"/>
  <c r="S40" i="11"/>
  <c r="S41" i="11"/>
  <c r="V57" i="11" s="1"/>
  <c r="C7" i="9"/>
  <c r="E6" i="9"/>
  <c r="E8" i="9"/>
  <c r="E7" i="9"/>
  <c r="T40" i="11"/>
  <c r="F10" i="6"/>
  <c r="F9" i="6"/>
  <c r="F8" i="6"/>
  <c r="E8" i="6"/>
  <c r="E10" i="6"/>
  <c r="E9" i="6"/>
  <c r="C6" i="9"/>
  <c r="D7" i="9"/>
  <c r="D8" i="9"/>
  <c r="Z55" i="9"/>
  <c r="D6" i="9"/>
  <c r="C34" i="9"/>
  <c r="C36" i="9" s="1"/>
  <c r="U61" i="9"/>
  <c r="S46" i="11"/>
  <c r="S48" i="11"/>
  <c r="S47" i="11"/>
  <c r="S51" i="11" s="1"/>
  <c r="Z47" i="11" s="1"/>
  <c r="Z48" i="11" s="1"/>
  <c r="U53" i="9"/>
  <c r="E34" i="9" s="1"/>
  <c r="E36" i="9" s="1"/>
  <c r="I34" i="9"/>
  <c r="I36" i="9" s="1"/>
  <c r="I50" i="9" s="1"/>
  <c r="P40" i="11"/>
  <c r="W55" i="9"/>
  <c r="R40" i="11"/>
  <c r="AA55" i="9"/>
  <c r="M64" i="11"/>
  <c r="M65" i="11" s="1"/>
  <c r="M63" i="11"/>
  <c r="K51" i="9"/>
  <c r="O64" i="11"/>
  <c r="O65" i="11" s="1"/>
  <c r="O63" i="11"/>
  <c r="Y37" i="11"/>
  <c r="Y38" i="11" s="1"/>
  <c r="U60" i="11"/>
  <c r="U62" i="11"/>
  <c r="U59" i="11"/>
  <c r="U61" i="11"/>
  <c r="U57" i="11"/>
  <c r="N64" i="11"/>
  <c r="N65" i="11" s="1"/>
  <c r="N63" i="11"/>
  <c r="H28" i="11"/>
  <c r="Q40" i="11"/>
  <c r="Q42" i="11"/>
  <c r="X41" i="11" s="1"/>
  <c r="P42" i="11"/>
  <c r="W41" i="11" s="1"/>
  <c r="P41" i="11"/>
  <c r="P49" i="11"/>
  <c r="P48" i="11"/>
  <c r="P47" i="11"/>
  <c r="P46" i="11"/>
  <c r="V55" i="9"/>
  <c r="Q48" i="11"/>
  <c r="Q47" i="11"/>
  <c r="Q46" i="11"/>
  <c r="Q49" i="11"/>
  <c r="O62" i="11"/>
  <c r="O61" i="11"/>
  <c r="O60" i="11"/>
  <c r="O59" i="11"/>
  <c r="O57" i="11"/>
  <c r="F34" i="9"/>
  <c r="F36" i="9" s="1"/>
  <c r="N62" i="11"/>
  <c r="N61" i="11"/>
  <c r="N60" i="11"/>
  <c r="N59" i="11"/>
  <c r="N57" i="11"/>
  <c r="S55" i="9"/>
  <c r="U42" i="11"/>
  <c r="AB41" i="11" s="1"/>
  <c r="U40" i="11"/>
  <c r="X61" i="9"/>
  <c r="X53" i="9"/>
  <c r="H34" i="9" s="1"/>
  <c r="H36" i="9" s="1"/>
  <c r="H50" i="9" s="1"/>
  <c r="Q22" i="11" s="1"/>
  <c r="Q23" i="11" s="1"/>
  <c r="Q24" i="11" s="1"/>
  <c r="M61" i="11"/>
  <c r="M57" i="11"/>
  <c r="M60" i="11"/>
  <c r="M62" i="11"/>
  <c r="M59" i="11"/>
  <c r="U41" i="11"/>
  <c r="V61" i="9"/>
  <c r="Z61" i="9"/>
  <c r="Z53" i="9"/>
  <c r="J34" i="9" s="1"/>
  <c r="J36" i="9" s="1"/>
  <c r="J50" i="9" s="1"/>
  <c r="S22" i="11" s="1"/>
  <c r="S23" i="11" s="1"/>
  <c r="S24" i="11" s="1"/>
  <c r="H40" i="11"/>
  <c r="Q41" i="11"/>
  <c r="R47" i="11"/>
  <c r="R46" i="11"/>
  <c r="R49" i="11"/>
  <c r="R48" i="11"/>
  <c r="T49" i="11"/>
  <c r="T48" i="11"/>
  <c r="T47" i="11"/>
  <c r="T46" i="11"/>
  <c r="AA61" i="9"/>
  <c r="G34" i="9"/>
  <c r="G36" i="9" s="1"/>
  <c r="G50" i="9" s="1"/>
  <c r="P22" i="11" s="1"/>
  <c r="P23" i="11" s="1"/>
  <c r="P24" i="11" s="1"/>
  <c r="X41" i="9"/>
  <c r="U49" i="11"/>
  <c r="U48" i="11"/>
  <c r="U47" i="11"/>
  <c r="U46" i="11"/>
  <c r="AA37" i="11"/>
  <c r="AA38" i="11" s="1"/>
  <c r="Y55" i="9"/>
  <c r="K111" i="25"/>
  <c r="K112" i="25" s="1"/>
  <c r="K108" i="25"/>
  <c r="K104" i="25"/>
  <c r="K109" i="25"/>
  <c r="K106" i="25"/>
  <c r="K110" i="25"/>
  <c r="K107" i="25"/>
  <c r="T45" i="6"/>
  <c r="C8" i="6"/>
  <c r="D10" i="6"/>
  <c r="D8" i="6"/>
  <c r="C10" i="6"/>
  <c r="D9" i="6"/>
  <c r="C9" i="6"/>
  <c r="B124" i="25"/>
  <c r="B123" i="25"/>
  <c r="B125" i="25" s="1"/>
  <c r="C124" i="25"/>
  <c r="C123" i="25"/>
  <c r="C125" i="25" s="1"/>
  <c r="E124" i="25"/>
  <c r="E123" i="25"/>
  <c r="E125" i="25" s="1"/>
  <c r="D114" i="25"/>
  <c r="L113" i="25"/>
  <c r="N113" i="25"/>
  <c r="F114" i="25"/>
  <c r="F124" i="25"/>
  <c r="F123" i="25"/>
  <c r="F125" i="25" s="1"/>
  <c r="J113" i="25"/>
  <c r="G114" i="25"/>
  <c r="O113" i="25"/>
  <c r="C114" i="25"/>
  <c r="K113" i="25"/>
  <c r="D124" i="25"/>
  <c r="D123" i="25"/>
  <c r="H27" i="25"/>
  <c r="L48" i="6"/>
  <c r="M48" i="6"/>
  <c r="M113" i="25"/>
  <c r="E114" i="25"/>
  <c r="G124" i="25"/>
  <c r="G123" i="25"/>
  <c r="G125" i="25" s="1"/>
  <c r="T85" i="25"/>
  <c r="T84" i="25"/>
  <c r="T83" i="25"/>
  <c r="T82" i="25"/>
  <c r="K52" i="9" l="1"/>
  <c r="Z37" i="11"/>
  <c r="Z38" i="11" s="1"/>
  <c r="V64" i="11" s="1"/>
  <c r="V65" i="11" s="1"/>
  <c r="E31" i="11" s="1"/>
  <c r="E32" i="11" s="1"/>
  <c r="H69" i="11"/>
  <c r="H70" i="11" s="1"/>
  <c r="H71" i="11" s="1"/>
  <c r="I52" i="9"/>
  <c r="R22" i="11"/>
  <c r="R23" i="11" s="1"/>
  <c r="R24" i="11" s="1"/>
  <c r="I11" i="6"/>
  <c r="I63" i="6" s="1"/>
  <c r="F50" i="9"/>
  <c r="C69" i="11" s="1"/>
  <c r="D5" i="11"/>
  <c r="D6" i="11" s="1"/>
  <c r="D10" i="11" s="1"/>
  <c r="J11" i="6"/>
  <c r="J63" i="6" s="1"/>
  <c r="H11" i="6"/>
  <c r="H63" i="6" s="1"/>
  <c r="G11" i="6"/>
  <c r="G63" i="6" s="1"/>
  <c r="N109" i="25"/>
  <c r="E50" i="9"/>
  <c r="C5" i="11"/>
  <c r="C6" i="11" s="1"/>
  <c r="W62" i="11"/>
  <c r="L111" i="25"/>
  <c r="L112" i="25" s="1"/>
  <c r="L114" i="25" s="1"/>
  <c r="D30" i="25" s="1"/>
  <c r="D31" i="25" s="1"/>
  <c r="L110" i="25"/>
  <c r="M108" i="25"/>
  <c r="M104" i="25"/>
  <c r="M110" i="25"/>
  <c r="M111" i="25"/>
  <c r="M112" i="25" s="1"/>
  <c r="M114" i="25" s="1"/>
  <c r="E30" i="25" s="1"/>
  <c r="E31" i="25" s="1"/>
  <c r="M109" i="25"/>
  <c r="N104" i="25"/>
  <c r="D125" i="25"/>
  <c r="L109" i="25"/>
  <c r="N110" i="25"/>
  <c r="L104" i="25"/>
  <c r="L106" i="25"/>
  <c r="N106" i="25"/>
  <c r="L108" i="25"/>
  <c r="W57" i="11"/>
  <c r="O109" i="25"/>
  <c r="M107" i="25"/>
  <c r="O104" i="25"/>
  <c r="O108" i="25"/>
  <c r="N108" i="25"/>
  <c r="F11" i="6"/>
  <c r="F63" i="6" s="1"/>
  <c r="N107" i="25"/>
  <c r="O111" i="25"/>
  <c r="O112" i="25" s="1"/>
  <c r="O114" i="25" s="1"/>
  <c r="G30" i="25" s="1"/>
  <c r="G31" i="25" s="1"/>
  <c r="O107" i="25"/>
  <c r="O106" i="25"/>
  <c r="W59" i="11"/>
  <c r="W60" i="11"/>
  <c r="V59" i="11"/>
  <c r="F12" i="9"/>
  <c r="V60" i="11"/>
  <c r="V62" i="11"/>
  <c r="V61" i="11"/>
  <c r="C12" i="9"/>
  <c r="C52" i="9" s="1"/>
  <c r="C84" i="9" s="1"/>
  <c r="E12" i="9"/>
  <c r="E11" i="6"/>
  <c r="E63" i="6" s="1"/>
  <c r="D12" i="9"/>
  <c r="F69" i="11"/>
  <c r="F70" i="11" s="1"/>
  <c r="F71" i="11" s="1"/>
  <c r="V69" i="11"/>
  <c r="S52" i="11"/>
  <c r="S50" i="11"/>
  <c r="I51" i="9"/>
  <c r="I74" i="9" s="1"/>
  <c r="I75" i="9" s="1"/>
  <c r="K64" i="11"/>
  <c r="K65" i="11" s="1"/>
  <c r="K63" i="11"/>
  <c r="U51" i="11"/>
  <c r="T52" i="11"/>
  <c r="AA50" i="11" s="1"/>
  <c r="T50" i="11"/>
  <c r="R52" i="11"/>
  <c r="Y50" i="11" s="1"/>
  <c r="R50" i="11"/>
  <c r="T62" i="11"/>
  <c r="T61" i="11"/>
  <c r="T60" i="11"/>
  <c r="T59" i="11"/>
  <c r="T57" i="11"/>
  <c r="X37" i="11"/>
  <c r="X38" i="11" s="1"/>
  <c r="AB37" i="11"/>
  <c r="AB38" i="11" s="1"/>
  <c r="X62" i="11"/>
  <c r="X61" i="11"/>
  <c r="X60" i="11"/>
  <c r="X59" i="11"/>
  <c r="X57" i="11"/>
  <c r="S62" i="11"/>
  <c r="S61" i="11"/>
  <c r="S60" i="11"/>
  <c r="S59" i="11"/>
  <c r="S57" i="11"/>
  <c r="W37" i="11"/>
  <c r="W38" i="11" s="1"/>
  <c r="J51" i="9"/>
  <c r="G69" i="11"/>
  <c r="G70" i="11" s="1"/>
  <c r="G71" i="11" s="1"/>
  <c r="J52" i="9"/>
  <c r="H51" i="9"/>
  <c r="E69" i="11"/>
  <c r="E70" i="11" s="1"/>
  <c r="E71" i="11" s="1"/>
  <c r="H52" i="9"/>
  <c r="P50" i="11"/>
  <c r="U52" i="11"/>
  <c r="AB50" i="11" s="1"/>
  <c r="U50" i="11"/>
  <c r="L64" i="11"/>
  <c r="L65" i="11" s="1"/>
  <c r="L63" i="11"/>
  <c r="Q52" i="11"/>
  <c r="X50" i="11" s="1"/>
  <c r="Q50" i="11"/>
  <c r="P52" i="11"/>
  <c r="P51" i="11"/>
  <c r="K62" i="11"/>
  <c r="K61" i="11"/>
  <c r="K60" i="11"/>
  <c r="K59" i="11"/>
  <c r="K57" i="11"/>
  <c r="U63" i="11"/>
  <c r="U64" i="11"/>
  <c r="U65" i="11" s="1"/>
  <c r="D31" i="11" s="1"/>
  <c r="D32" i="11" s="1"/>
  <c r="V75" i="11"/>
  <c r="V76" i="11" s="1"/>
  <c r="V74" i="11"/>
  <c r="T51" i="11"/>
  <c r="R51" i="11"/>
  <c r="P64" i="11"/>
  <c r="P65" i="11" s="1"/>
  <c r="P63" i="11"/>
  <c r="Q51" i="11"/>
  <c r="K74" i="9"/>
  <c r="K75" i="9" s="1"/>
  <c r="K84" i="9"/>
  <c r="W64" i="11"/>
  <c r="W65" i="11" s="1"/>
  <c r="F31" i="11" s="1"/>
  <c r="F32" i="11" s="1"/>
  <c r="W63" i="11"/>
  <c r="G51" i="9"/>
  <c r="D69" i="11"/>
  <c r="D70" i="11" s="1"/>
  <c r="D71" i="11" s="1"/>
  <c r="G52" i="9"/>
  <c r="P62" i="11"/>
  <c r="P61" i="11"/>
  <c r="P60" i="11"/>
  <c r="P59" i="11"/>
  <c r="P57" i="11"/>
  <c r="L62" i="11"/>
  <c r="L61" i="11"/>
  <c r="L60" i="11"/>
  <c r="L59" i="11"/>
  <c r="L57" i="11"/>
  <c r="N114" i="25"/>
  <c r="F30" i="25" s="1"/>
  <c r="F31" i="25" s="1"/>
  <c r="K114" i="25"/>
  <c r="C30" i="25" s="1"/>
  <c r="C31" i="25" s="1"/>
  <c r="D11" i="6"/>
  <c r="T87" i="25"/>
  <c r="J111" i="25" s="1"/>
  <c r="T86" i="25"/>
  <c r="B110" i="25" s="1"/>
  <c r="W52" i="6"/>
  <c r="Z51" i="6"/>
  <c r="V52" i="6"/>
  <c r="U52" i="6"/>
  <c r="T52" i="6"/>
  <c r="R52" i="6"/>
  <c r="X52" i="6"/>
  <c r="S52" i="6"/>
  <c r="Y52" i="6"/>
  <c r="C11" i="6"/>
  <c r="V63" i="11" l="1"/>
  <c r="F40" i="9"/>
  <c r="F41" i="9" s="1"/>
  <c r="O22" i="11"/>
  <c r="O23" i="11" s="1"/>
  <c r="O24" i="11" s="1"/>
  <c r="M55" i="9"/>
  <c r="N22" i="11"/>
  <c r="B69" i="11"/>
  <c r="B70" i="11" s="1"/>
  <c r="B71" i="11" s="1"/>
  <c r="E51" i="9"/>
  <c r="E74" i="9" s="1"/>
  <c r="F52" i="9"/>
  <c r="C70" i="11"/>
  <c r="C71" i="11" s="1"/>
  <c r="F51" i="9"/>
  <c r="F84" i="9" s="1"/>
  <c r="B6" i="11"/>
  <c r="C10" i="11"/>
  <c r="B10" i="11" s="1"/>
  <c r="E40" i="9"/>
  <c r="E52" i="9"/>
  <c r="B12" i="9"/>
  <c r="D70" i="9"/>
  <c r="I84" i="9"/>
  <c r="D66" i="9"/>
  <c r="M54" i="9"/>
  <c r="D52" i="9"/>
  <c r="D84" i="9" s="1"/>
  <c r="N70" i="11"/>
  <c r="N72" i="11"/>
  <c r="N69" i="11"/>
  <c r="N73" i="11"/>
  <c r="N71" i="11"/>
  <c r="Z50" i="11"/>
  <c r="V73" i="11"/>
  <c r="V71" i="11"/>
  <c r="V70" i="11"/>
  <c r="V72" i="11"/>
  <c r="P75" i="11"/>
  <c r="P76" i="11" s="1"/>
  <c r="P74" i="11"/>
  <c r="O75" i="11"/>
  <c r="O76" i="11" s="1"/>
  <c r="O74" i="11"/>
  <c r="L73" i="11"/>
  <c r="L72" i="11"/>
  <c r="L71" i="11"/>
  <c r="L70" i="11"/>
  <c r="L69" i="11"/>
  <c r="X70" i="11"/>
  <c r="X73" i="11"/>
  <c r="X72" i="11"/>
  <c r="X71" i="11"/>
  <c r="S73" i="11"/>
  <c r="S72" i="11"/>
  <c r="S71" i="11"/>
  <c r="S70" i="11"/>
  <c r="J74" i="9"/>
  <c r="J75" i="9" s="1"/>
  <c r="J84" i="9"/>
  <c r="O70" i="11"/>
  <c r="O69" i="11"/>
  <c r="O73" i="11"/>
  <c r="O72" i="11"/>
  <c r="O71" i="11"/>
  <c r="K69" i="11"/>
  <c r="K73" i="11"/>
  <c r="K72" i="11"/>
  <c r="K71" i="11"/>
  <c r="K70" i="11"/>
  <c r="X64" i="11"/>
  <c r="X65" i="11" s="1"/>
  <c r="G31" i="11" s="1"/>
  <c r="G32" i="11" s="1"/>
  <c r="X63" i="11"/>
  <c r="W69" i="11"/>
  <c r="AA47" i="11"/>
  <c r="AA48" i="11" s="1"/>
  <c r="S69" i="11"/>
  <c r="W47" i="11"/>
  <c r="W48" i="11" s="1"/>
  <c r="L74" i="11"/>
  <c r="L75" i="11"/>
  <c r="L76" i="11" s="1"/>
  <c r="H74" i="9"/>
  <c r="H75" i="9" s="1"/>
  <c r="H84" i="9"/>
  <c r="S64" i="11"/>
  <c r="S65" i="11" s="1"/>
  <c r="B31" i="11" s="1"/>
  <c r="B32" i="11" s="1"/>
  <c r="S63" i="11"/>
  <c r="T64" i="11"/>
  <c r="T65" i="11" s="1"/>
  <c r="C31" i="11" s="1"/>
  <c r="T63" i="11"/>
  <c r="U73" i="11"/>
  <c r="U72" i="11"/>
  <c r="U71" i="11"/>
  <c r="U70" i="11"/>
  <c r="X69" i="11"/>
  <c r="AB47" i="11"/>
  <c r="AB48" i="11" s="1"/>
  <c r="P70" i="11"/>
  <c r="P69" i="11"/>
  <c r="P73" i="11"/>
  <c r="P72" i="11"/>
  <c r="P71" i="11"/>
  <c r="M75" i="11"/>
  <c r="M76" i="11" s="1"/>
  <c r="M74" i="11"/>
  <c r="G74" i="9"/>
  <c r="G75" i="9" s="1"/>
  <c r="G84" i="9"/>
  <c r="X47" i="11"/>
  <c r="X48" i="11" s="1"/>
  <c r="T69" i="11"/>
  <c r="Y47" i="11"/>
  <c r="Y48" i="11" s="1"/>
  <c r="U69" i="11"/>
  <c r="W50" i="11"/>
  <c r="M73" i="11"/>
  <c r="M72" i="11"/>
  <c r="M71" i="11"/>
  <c r="M70" i="11"/>
  <c r="M69" i="11"/>
  <c r="T73" i="11"/>
  <c r="T72" i="11"/>
  <c r="T71" i="11"/>
  <c r="T70" i="11"/>
  <c r="W70" i="11"/>
  <c r="W73" i="11"/>
  <c r="W72" i="11"/>
  <c r="W71" i="11"/>
  <c r="B111" i="25"/>
  <c r="J109" i="25"/>
  <c r="J108" i="25"/>
  <c r="J107" i="25"/>
  <c r="J112" i="25" s="1"/>
  <c r="J114" i="25" s="1"/>
  <c r="J106" i="25"/>
  <c r="J104" i="25"/>
  <c r="Y53" i="6"/>
  <c r="J28" i="6" s="1"/>
  <c r="J30" i="6" s="1"/>
  <c r="Y59" i="6"/>
  <c r="R33" i="6"/>
  <c r="R59" i="6"/>
  <c r="R53" i="6"/>
  <c r="V59" i="6"/>
  <c r="V53" i="6"/>
  <c r="G28" i="6" s="1"/>
  <c r="G30" i="6" s="1"/>
  <c r="J110" i="25"/>
  <c r="X53" i="6"/>
  <c r="I28" i="6" s="1"/>
  <c r="I30" i="6" s="1"/>
  <c r="X59" i="6"/>
  <c r="C63" i="6"/>
  <c r="C48" i="6"/>
  <c r="B11" i="6"/>
  <c r="S59" i="6"/>
  <c r="S53" i="6"/>
  <c r="T59" i="6"/>
  <c r="T53" i="6"/>
  <c r="E28" i="6" s="1"/>
  <c r="E30" i="6" s="1"/>
  <c r="W59" i="6"/>
  <c r="W53" i="6"/>
  <c r="H28" i="6" s="1"/>
  <c r="H30" i="6" s="1"/>
  <c r="U59" i="6"/>
  <c r="U53" i="6"/>
  <c r="F28" i="6" s="1"/>
  <c r="F30" i="6" s="1"/>
  <c r="B109" i="25"/>
  <c r="B108" i="25"/>
  <c r="B107" i="25"/>
  <c r="B106" i="25"/>
  <c r="B104" i="25"/>
  <c r="D63" i="6"/>
  <c r="C41" i="9" l="1"/>
  <c r="C50" i="9" s="1"/>
  <c r="B56" i="9" s="1"/>
  <c r="B86" i="9" s="1"/>
  <c r="N23" i="11"/>
  <c r="M22" i="11"/>
  <c r="D67" i="9"/>
  <c r="E84" i="9"/>
  <c r="B84" i="9" s="1"/>
  <c r="I85" i="9" s="1"/>
  <c r="F74" i="9"/>
  <c r="F75" i="9" s="1"/>
  <c r="F76" i="9" s="1"/>
  <c r="F78" i="9" s="1"/>
  <c r="F79" i="9" s="1"/>
  <c r="F80" i="9" s="1"/>
  <c r="I71" i="11"/>
  <c r="B72" i="11" s="1"/>
  <c r="F46" i="6"/>
  <c r="F47" i="6" s="1"/>
  <c r="E5" i="25"/>
  <c r="E10" i="25" s="1"/>
  <c r="AC45" i="25" s="1"/>
  <c r="E46" i="6"/>
  <c r="C66" i="25" s="1"/>
  <c r="C67" i="25" s="1"/>
  <c r="C68" i="25" s="1"/>
  <c r="D5" i="25"/>
  <c r="D10" i="25" s="1"/>
  <c r="AB45" i="25" s="1"/>
  <c r="E41" i="9"/>
  <c r="E75" i="9" s="1"/>
  <c r="E76" i="9" s="1"/>
  <c r="E78" i="9" s="1"/>
  <c r="E79" i="9" s="1"/>
  <c r="E80" i="9" s="1"/>
  <c r="C32" i="11"/>
  <c r="H32" i="11" s="1"/>
  <c r="B33" i="11" s="1"/>
  <c r="H33" i="11"/>
  <c r="C28" i="6"/>
  <c r="C30" i="6" s="1"/>
  <c r="B52" i="9"/>
  <c r="B54" i="9"/>
  <c r="D55" i="9" s="1"/>
  <c r="N75" i="11"/>
  <c r="N76" i="11" s="1"/>
  <c r="E43" i="11" s="1"/>
  <c r="E44" i="11" s="1"/>
  <c r="N74" i="11"/>
  <c r="U75" i="11"/>
  <c r="U76" i="11" s="1"/>
  <c r="D43" i="11" s="1"/>
  <c r="D44" i="11" s="1"/>
  <c r="U74" i="11"/>
  <c r="S75" i="11"/>
  <c r="S76" i="11" s="1"/>
  <c r="S74" i="11"/>
  <c r="T74" i="11"/>
  <c r="T75" i="11"/>
  <c r="T76" i="11" s="1"/>
  <c r="C43" i="11" s="1"/>
  <c r="C44" i="11" s="1"/>
  <c r="W75" i="11"/>
  <c r="W76" i="11" s="1"/>
  <c r="F43" i="11" s="1"/>
  <c r="F44" i="11" s="1"/>
  <c r="W74" i="11"/>
  <c r="K75" i="11"/>
  <c r="K76" i="11" s="1"/>
  <c r="K74" i="11"/>
  <c r="X75" i="11"/>
  <c r="X76" i="11" s="1"/>
  <c r="G43" i="11" s="1"/>
  <c r="G44" i="11" s="1"/>
  <c r="X74" i="11"/>
  <c r="D28" i="6"/>
  <c r="D30" i="6" s="1"/>
  <c r="D46" i="6" s="1"/>
  <c r="B112" i="25"/>
  <c r="B114" i="25" s="1"/>
  <c r="B30" i="25" s="1"/>
  <c r="B31" i="25" s="1"/>
  <c r="I46" i="6"/>
  <c r="I73" i="6"/>
  <c r="J46" i="6"/>
  <c r="J73" i="6"/>
  <c r="H46" i="6"/>
  <c r="H73" i="6"/>
  <c r="G73" i="6"/>
  <c r="G46" i="6"/>
  <c r="D56" i="9" l="1"/>
  <c r="D58" i="9" s="1"/>
  <c r="D63" i="9" s="1"/>
  <c r="D64" i="9" s="1"/>
  <c r="C51" i="9"/>
  <c r="B51" i="9" s="1"/>
  <c r="B50" i="9"/>
  <c r="N24" i="11"/>
  <c r="M24" i="11" s="1"/>
  <c r="M25" i="11" s="1"/>
  <c r="M23" i="11"/>
  <c r="F35" i="6"/>
  <c r="F36" i="6" s="1"/>
  <c r="B81" i="9"/>
  <c r="D66" i="25"/>
  <c r="D67" i="25" s="1"/>
  <c r="D68" i="25" s="1"/>
  <c r="F48" i="6"/>
  <c r="B33" i="25"/>
  <c r="B74" i="25" s="1"/>
  <c r="H31" i="25"/>
  <c r="H32" i="25" s="1"/>
  <c r="E35" i="6"/>
  <c r="E36" i="6" s="1"/>
  <c r="E48" i="6"/>
  <c r="E47" i="6"/>
  <c r="E73" i="6" s="1"/>
  <c r="AB46" i="25"/>
  <c r="AB47" i="25" s="1"/>
  <c r="AB48" i="25" s="1"/>
  <c r="AC46" i="25"/>
  <c r="AC47" i="25" s="1"/>
  <c r="AC48" i="25" s="1"/>
  <c r="B43" i="11"/>
  <c r="B44" i="11" s="1"/>
  <c r="H44" i="11" s="1"/>
  <c r="B45" i="11" s="1"/>
  <c r="J85" i="9"/>
  <c r="J86" i="9" s="1"/>
  <c r="J87" i="9" s="1"/>
  <c r="H85" i="9"/>
  <c r="H86" i="9" s="1"/>
  <c r="H87" i="9" s="1"/>
  <c r="K55" i="9"/>
  <c r="K56" i="9" s="1"/>
  <c r="K58" i="9" s="1"/>
  <c r="K72" i="9" s="1"/>
  <c r="I86" i="9"/>
  <c r="I87" i="9" s="1"/>
  <c r="G85" i="9"/>
  <c r="G86" i="9" s="1"/>
  <c r="G87" i="9" s="1"/>
  <c r="J55" i="9"/>
  <c r="J56" i="9" s="1"/>
  <c r="J58" i="9" s="1"/>
  <c r="J72" i="9" s="1"/>
  <c r="I55" i="9"/>
  <c r="I56" i="9" s="1"/>
  <c r="I58" i="9" s="1"/>
  <c r="I72" i="9" s="1"/>
  <c r="C55" i="9"/>
  <c r="C56" i="9" s="1"/>
  <c r="C58" i="9" s="1"/>
  <c r="C63" i="9" s="1"/>
  <c r="C64" i="9" s="1"/>
  <c r="D85" i="9"/>
  <c r="D86" i="9" s="1"/>
  <c r="D87" i="9" s="1"/>
  <c r="G55" i="9"/>
  <c r="G56" i="9" s="1"/>
  <c r="G58" i="9" s="1"/>
  <c r="G72" i="9" s="1"/>
  <c r="K85" i="9"/>
  <c r="K86" i="9" s="1"/>
  <c r="K87" i="9" s="1"/>
  <c r="C85" i="9"/>
  <c r="C86" i="9" s="1"/>
  <c r="C87" i="9" s="1"/>
  <c r="E55" i="9"/>
  <c r="E56" i="9" s="1"/>
  <c r="E58" i="9" s="1"/>
  <c r="E85" i="9"/>
  <c r="E86" i="9" s="1"/>
  <c r="E87" i="9" s="1"/>
  <c r="F55" i="9"/>
  <c r="F56" i="9" s="1"/>
  <c r="F58" i="9" s="1"/>
  <c r="F60" i="9" s="1"/>
  <c r="H55" i="9"/>
  <c r="H56" i="9" s="1"/>
  <c r="H58" i="9" s="1"/>
  <c r="H72" i="9" s="1"/>
  <c r="F85" i="9"/>
  <c r="F86" i="9" s="1"/>
  <c r="F87" i="9" s="1"/>
  <c r="H45" i="11"/>
  <c r="H46" i="11" s="1"/>
  <c r="B80" i="11" s="1"/>
  <c r="C5" i="25"/>
  <c r="C10" i="25" s="1"/>
  <c r="B10" i="25" s="1"/>
  <c r="G47" i="6"/>
  <c r="G64" i="6" s="1"/>
  <c r="G66" i="6" s="1"/>
  <c r="G35" i="6"/>
  <c r="G36" i="6" s="1"/>
  <c r="G74" i="6" s="1"/>
  <c r="AD46" i="25"/>
  <c r="AD47" i="25" s="1"/>
  <c r="AD48" i="25" s="1"/>
  <c r="E66" i="25"/>
  <c r="E67" i="25" s="1"/>
  <c r="E68" i="25" s="1"/>
  <c r="G48" i="6"/>
  <c r="D35" i="6"/>
  <c r="B66" i="25"/>
  <c r="B67" i="25" s="1"/>
  <c r="B68" i="25" s="1"/>
  <c r="AA46" i="25"/>
  <c r="D47" i="6"/>
  <c r="D48" i="6"/>
  <c r="J35" i="6"/>
  <c r="J36" i="6" s="1"/>
  <c r="J74" i="6" s="1"/>
  <c r="H66" i="25"/>
  <c r="H67" i="25" s="1"/>
  <c r="H68" i="25" s="1"/>
  <c r="AG46" i="25"/>
  <c r="AG47" i="25" s="1"/>
  <c r="AG48" i="25" s="1"/>
  <c r="J48" i="6"/>
  <c r="J47" i="6"/>
  <c r="J64" i="6" s="1"/>
  <c r="J66" i="6" s="1"/>
  <c r="G66" i="25"/>
  <c r="G67" i="25" s="1"/>
  <c r="G68" i="25" s="1"/>
  <c r="I48" i="6"/>
  <c r="I47" i="6"/>
  <c r="I64" i="6" s="1"/>
  <c r="I66" i="6" s="1"/>
  <c r="AF46" i="25"/>
  <c r="AF47" i="25" s="1"/>
  <c r="AF48" i="25" s="1"/>
  <c r="I35" i="6"/>
  <c r="I36" i="6" s="1"/>
  <c r="I74" i="6" s="1"/>
  <c r="H47" i="6"/>
  <c r="H64" i="6" s="1"/>
  <c r="H66" i="6" s="1"/>
  <c r="AE46" i="25"/>
  <c r="AE47" i="25" s="1"/>
  <c r="AE48" i="25" s="1"/>
  <c r="H35" i="6"/>
  <c r="H36" i="6" s="1"/>
  <c r="H74" i="6" s="1"/>
  <c r="F66" i="25"/>
  <c r="F67" i="25" s="1"/>
  <c r="F68" i="25" s="1"/>
  <c r="H48" i="6"/>
  <c r="F64" i="6"/>
  <c r="F66" i="6" s="1"/>
  <c r="F73" i="6"/>
  <c r="F74" i="6" l="1"/>
  <c r="B77" i="25"/>
  <c r="E74" i="6"/>
  <c r="E64" i="6"/>
  <c r="E66" i="6" s="1"/>
  <c r="K60" i="9"/>
  <c r="I60" i="9"/>
  <c r="J60" i="9"/>
  <c r="G60" i="9"/>
  <c r="H60" i="9"/>
  <c r="B58" i="9"/>
  <c r="F72" i="9"/>
  <c r="E72" i="9"/>
  <c r="E60" i="9"/>
  <c r="I45" i="11"/>
  <c r="B76" i="11"/>
  <c r="B77" i="11" s="1"/>
  <c r="AA45" i="25"/>
  <c r="Z45" i="25" s="1"/>
  <c r="I68" i="25"/>
  <c r="B70" i="25" s="1"/>
  <c r="B75" i="25" s="1"/>
  <c r="B50" i="6"/>
  <c r="E51" i="6" s="1"/>
  <c r="AA47" i="25"/>
  <c r="Z46" i="25"/>
  <c r="D64" i="6"/>
  <c r="D66" i="6" s="1"/>
  <c r="D73" i="6"/>
  <c r="C36" i="6"/>
  <c r="C46" i="6" s="1"/>
  <c r="C47" i="6" s="1"/>
  <c r="D36" i="6"/>
  <c r="B66" i="6" l="1"/>
  <c r="F67" i="6" s="1"/>
  <c r="C72" i="9"/>
  <c r="E61" i="9"/>
  <c r="E62" i="9" s="1"/>
  <c r="E63" i="9" s="1"/>
  <c r="J61" i="9"/>
  <c r="J62" i="9" s="1"/>
  <c r="J63" i="9" s="1"/>
  <c r="J64" i="9" s="1"/>
  <c r="I61" i="9"/>
  <c r="I62" i="9" s="1"/>
  <c r="I63" i="9" s="1"/>
  <c r="I64" i="9" s="1"/>
  <c r="H61" i="9"/>
  <c r="H62" i="9" s="1"/>
  <c r="H63" i="9" s="1"/>
  <c r="H64" i="9" s="1"/>
  <c r="F61" i="9"/>
  <c r="F62" i="9" s="1"/>
  <c r="F63" i="9" s="1"/>
  <c r="F64" i="9" s="1"/>
  <c r="K61" i="9"/>
  <c r="K62" i="9" s="1"/>
  <c r="K63" i="9" s="1"/>
  <c r="K64" i="9" s="1"/>
  <c r="G61" i="9"/>
  <c r="G62" i="9" s="1"/>
  <c r="G63" i="9" s="1"/>
  <c r="G64" i="9" s="1"/>
  <c r="C51" i="6"/>
  <c r="C52" i="6" s="1"/>
  <c r="C53" i="6" s="1"/>
  <c r="D51" i="6"/>
  <c r="D52" i="6" s="1"/>
  <c r="D53" i="6" s="1"/>
  <c r="I51" i="6"/>
  <c r="I52" i="6" s="1"/>
  <c r="I53" i="6" s="1"/>
  <c r="G51" i="6"/>
  <c r="G52" i="6" s="1"/>
  <c r="G53" i="6" s="1"/>
  <c r="H51" i="6"/>
  <c r="H52" i="6" s="1"/>
  <c r="H53" i="6" s="1"/>
  <c r="J51" i="6"/>
  <c r="J52" i="6" s="1"/>
  <c r="J53" i="6" s="1"/>
  <c r="D74" i="6"/>
  <c r="F51" i="6"/>
  <c r="F52" i="6" s="1"/>
  <c r="F53" i="6" s="1"/>
  <c r="B47" i="6"/>
  <c r="C64" i="6"/>
  <c r="C65" i="6" s="1"/>
  <c r="C69" i="6" s="1"/>
  <c r="E52" i="6"/>
  <c r="E53" i="6" s="1"/>
  <c r="Z47" i="25"/>
  <c r="AA48" i="25"/>
  <c r="Z48" i="25" s="1"/>
  <c r="Z50" i="25" s="1"/>
  <c r="G67" i="6" l="1"/>
  <c r="G68" i="6" s="1"/>
  <c r="G69" i="6" s="1"/>
  <c r="J67" i="6"/>
  <c r="J68" i="6" s="1"/>
  <c r="J69" i="6" s="1"/>
  <c r="H67" i="6"/>
  <c r="H68" i="6" s="1"/>
  <c r="H69" i="6" s="1"/>
  <c r="I67" i="6"/>
  <c r="I68" i="6" s="1"/>
  <c r="I69" i="6" s="1"/>
  <c r="E67" i="6"/>
  <c r="E68" i="6" s="1"/>
  <c r="E69" i="6" s="1"/>
  <c r="D67" i="6"/>
  <c r="D68" i="6" s="1"/>
  <c r="D69" i="6" s="1"/>
  <c r="E64" i="9"/>
  <c r="B63" i="9"/>
  <c r="B64" i="9" s="1"/>
  <c r="B4" i="11"/>
  <c r="B12" i="11"/>
  <c r="F68" i="6"/>
  <c r="F69" i="6" s="1"/>
  <c r="I72" i="6"/>
  <c r="I54" i="6"/>
  <c r="G54" i="6"/>
  <c r="G72" i="6"/>
  <c r="H54" i="6"/>
  <c r="H72" i="6"/>
  <c r="F54" i="6"/>
  <c r="F72" i="6"/>
  <c r="C57" i="6"/>
  <c r="B53" i="6"/>
  <c r="J54" i="6"/>
  <c r="J72" i="6"/>
  <c r="D72" i="6"/>
  <c r="D54" i="6"/>
  <c r="E72" i="6"/>
  <c r="E54" i="6"/>
  <c r="B13" i="11" l="1"/>
  <c r="B14" i="11" s="1"/>
  <c r="B58" i="11" s="1"/>
  <c r="B59" i="11" s="1"/>
  <c r="B60" i="11" s="1"/>
  <c r="B79" i="11" s="1"/>
  <c r="B81" i="11" s="1"/>
  <c r="B69" i="6"/>
  <c r="C72" i="6"/>
  <c r="B4" i="25" s="1"/>
  <c r="E55" i="6"/>
  <c r="E56" i="6" s="1"/>
  <c r="E57" i="6" s="1"/>
  <c r="G55" i="6"/>
  <c r="G56" i="6" s="1"/>
  <c r="G57" i="6" s="1"/>
  <c r="J55" i="6"/>
  <c r="J56" i="6" s="1"/>
  <c r="J57" i="6" s="1"/>
  <c r="D55" i="6"/>
  <c r="D56" i="6" s="1"/>
  <c r="D57" i="6" s="1"/>
  <c r="H55" i="6"/>
  <c r="H56" i="6" s="1"/>
  <c r="H57" i="6" s="1"/>
  <c r="F55" i="6"/>
  <c r="F56" i="6" s="1"/>
  <c r="F57" i="6" s="1"/>
  <c r="I55" i="6"/>
  <c r="I56" i="6" s="1"/>
  <c r="I57" i="6" s="1"/>
  <c r="B82" i="11" l="1"/>
  <c r="B83" i="11" s="1"/>
  <c r="B84" i="11" s="1"/>
  <c r="B64" i="11" s="1"/>
  <c r="B86" i="11" s="1"/>
  <c r="B57" i="11"/>
  <c r="B12" i="25"/>
  <c r="B13" i="25" s="1"/>
  <c r="B57" i="6"/>
  <c r="B58" i="6" s="1"/>
  <c r="B14" i="25" l="1"/>
  <c r="I32" i="25" l="1"/>
  <c r="B54" i="25"/>
  <c r="B55" i="25" s="1"/>
  <c r="B56" i="25" s="1"/>
  <c r="B76" i="25" s="1"/>
  <c r="B78" i="25" s="1"/>
  <c r="B53" i="25"/>
  <c r="B79" i="25" l="1"/>
  <c r="B80" i="25" s="1"/>
  <c r="B81" i="25" s="1"/>
  <c r="B61" i="25" s="1"/>
  <c r="B8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Bernd Eckhardt</author>
  </authors>
  <commentList>
    <comment ref="L16" authorId="0" shapeId="0" xr:uid="{00000000-0006-0000-0600-000001000000}">
      <text>
        <r>
          <rPr>
            <b/>
            <sz val="9"/>
            <color indexed="81"/>
            <rFont val="Segoe UI"/>
            <family val="2"/>
          </rPr>
          <t>Bernd Eckhardt:</t>
        </r>
        <r>
          <rPr>
            <sz val="9"/>
            <color indexed="81"/>
            <rFont val="Segoe UI"/>
            <family val="2"/>
          </rPr>
          <t xml:space="preserve">
z.B.
Beim BAföG und anderen ausbildungsfördernden Hilfen wird nur die Hälfte des Zuschusses als Einkommen angerechnet.
Der Kinderbetreuungszuschuss von 160 Euro ist anrechnungsfrei, der Krankenkassenzuschuss ist dagegen Einkommen, führt aber dazu, dass beim Faktor 90% eingegeben wird.
Beim Elterngeld sind immer 300 Euro bzw. 150 Euro (bei zweijährigem Bezug) anrechnungsfrei. 
Weitere Sonderregelungen gibt es bei Abfindungen usw.</t>
        </r>
      </text>
    </comment>
    <comment ref="M16" authorId="0" shapeId="0" xr:uid="{00000000-0006-0000-0600-000002000000}">
      <text>
        <r>
          <rPr>
            <b/>
            <sz val="9"/>
            <color indexed="81"/>
            <rFont val="Segoe UI"/>
            <family val="2"/>
          </rPr>
          <t>Bernd Eckhardt:</t>
        </r>
        <r>
          <rPr>
            <sz val="9"/>
            <color indexed="81"/>
            <rFont val="Segoe UI"/>
            <family val="2"/>
          </rPr>
          <t xml:space="preserve">
Bei sozialversicherungspflichtigem Erwerbseinkommen von Arbeitnehmer*innen sind </t>
        </r>
        <r>
          <rPr>
            <b/>
            <sz val="9"/>
            <color indexed="81"/>
            <rFont val="Segoe UI"/>
            <family val="2"/>
          </rPr>
          <t>mindestens</t>
        </r>
        <r>
          <rPr>
            <sz val="9"/>
            <color indexed="81"/>
            <rFont val="Segoe UI"/>
            <family val="2"/>
          </rPr>
          <t xml:space="preserve"> die Werbungspauschale in Hähe von 102,50 Euro abzusetzen.
Bei Renter*innen ist mind. Der Abstzungsbetrag von 8,5 Euro abzusetzen.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Bernd Eckhardt</author>
  </authors>
  <commentList>
    <comment ref="L16" authorId="0" shapeId="0" xr:uid="{00000000-0006-0000-0700-000001000000}">
      <text>
        <r>
          <rPr>
            <b/>
            <sz val="9"/>
            <color indexed="81"/>
            <rFont val="Segoe UI"/>
            <family val="2"/>
          </rPr>
          <t>Bernd Eckhardt:</t>
        </r>
        <r>
          <rPr>
            <sz val="9"/>
            <color indexed="81"/>
            <rFont val="Segoe UI"/>
            <family val="2"/>
          </rPr>
          <t xml:space="preserve">
z.B.
Beim BAföG und anderen ausbildungsfördernden Hilfen wird nur die Hälfte des Zuschusses als Einkommen angerechnet.
Der Kinderbetreuungszuschuss von 150 Euro ist anrechnungsfrei, der Krankenkassenzuschuss ist dagegen Einkommen, führt aber dazu, dass beim Faktor 90% eingegeben wird.
Beim Elterngeld sind immer 300 Euro bzw. 150 Euro (bei zweijährigem Bezug) anrechnungsfrei. 
Weitere Sonderregelungen gibt es bei Abfindungen usw.</t>
        </r>
      </text>
    </comment>
    <comment ref="M16" authorId="0" shapeId="0" xr:uid="{00000000-0006-0000-0700-000002000000}">
      <text>
        <r>
          <rPr>
            <b/>
            <sz val="9"/>
            <color indexed="81"/>
            <rFont val="Segoe UI"/>
            <family val="2"/>
          </rPr>
          <t>Bernd Eckhardt:</t>
        </r>
        <r>
          <rPr>
            <sz val="9"/>
            <color indexed="81"/>
            <rFont val="Segoe UI"/>
            <family val="2"/>
          </rPr>
          <t xml:space="preserve">
Bei sozialversicherungspflichtigem Erwerbseinkommen von Arbeitnehmer*innen sind </t>
        </r>
        <r>
          <rPr>
            <b/>
            <sz val="9"/>
            <color indexed="81"/>
            <rFont val="Segoe UI"/>
            <family val="2"/>
          </rPr>
          <t>mindestens</t>
        </r>
        <r>
          <rPr>
            <sz val="9"/>
            <color indexed="81"/>
            <rFont val="Segoe UI"/>
            <family val="2"/>
          </rPr>
          <t xml:space="preserve"> die Werbungspauschale in Hähe von 83,33 Euro abzusetzen.
Bei Renter*innen ist mind. Der Abstzungsbetrag von 8,5 Euro abzusetzen. </t>
        </r>
      </text>
    </comment>
  </commentList>
</comments>
</file>

<file path=xl/sharedStrings.xml><?xml version="1.0" encoding="utf-8"?>
<sst xmlns="http://schemas.openxmlformats.org/spreadsheetml/2006/main" count="798" uniqueCount="446">
  <si>
    <t xml:space="preserve">Kalenderjahr </t>
  </si>
  <si>
    <t>ab 7/2023</t>
  </si>
  <si>
    <t>Name</t>
  </si>
  <si>
    <t>Anzahl Kinder (mit Kindergeld in Tab. "alleinerziehend"!)</t>
  </si>
  <si>
    <t>max. Kinderzuschlag</t>
  </si>
  <si>
    <t>ab 7/2022</t>
  </si>
  <si>
    <t>Anzahl bedürftige Kinder in BG</t>
  </si>
  <si>
    <t>max. möglicher Kiz rechnerisch bei Minuseinkommen auch höher als max. KiZ</t>
  </si>
  <si>
    <r>
      <t xml:space="preserve">Ø-Eink. der Kinder, </t>
    </r>
    <r>
      <rPr>
        <b/>
        <sz val="11"/>
        <color theme="1"/>
        <rFont val="Calibri"/>
        <family val="2"/>
        <scheme val="minor"/>
      </rPr>
      <t>wenn nicht Tabelle "SGB II alleinstehend…"</t>
    </r>
  </si>
  <si>
    <t>Wenn Einkommen grün leer…</t>
  </si>
  <si>
    <t>max. möglicher Kiz</t>
  </si>
  <si>
    <t>Elternbedarf: Regelbedarf und Mehrbedarfe</t>
  </si>
  <si>
    <t>Bedarfe der Unterkunft (Elternbedarf in Prozent)</t>
  </si>
  <si>
    <t>Elternbedarf: Unterkunft und Heizung</t>
  </si>
  <si>
    <t>Elternbedarf</t>
  </si>
  <si>
    <t>Ermittlung des Einkommens oberhalb des Elternbedarfs: anrechenbares Durchschnittseinkommen der letzten 6 Monate (vor Antragstellung)</t>
  </si>
  <si>
    <t>6 Kalendermonate vor Antragstellung</t>
  </si>
  <si>
    <t>Monat 1</t>
  </si>
  <si>
    <t>Monat 2</t>
  </si>
  <si>
    <t>Monat 3</t>
  </si>
  <si>
    <t>Monat 4</t>
  </si>
  <si>
    <t>Monat 5</t>
  </si>
  <si>
    <t>Monat 6</t>
  </si>
  <si>
    <t>Durchschnitt</t>
  </si>
  <si>
    <t>Ungeschützte Zellen für eigene Berechnungen</t>
  </si>
  <si>
    <t>Erwerbseinkommen (brutto)</t>
  </si>
  <si>
    <t>Erwerbseinkommen (netto)</t>
  </si>
  <si>
    <t>Erwerbseinkommen gesamt (netto)</t>
  </si>
  <si>
    <t>Werbungskosten oberhalb vom Grundabsetzungsbetrag</t>
  </si>
  <si>
    <t>titulierte Unterhaltsverpflichtung</t>
  </si>
  <si>
    <t>anrechenb. Erwerbseink.</t>
  </si>
  <si>
    <t>Differenz: Elternbedarf - Anr. Erwerbseinkommen</t>
  </si>
  <si>
    <t>Ø-Absetzung</t>
  </si>
  <si>
    <t>Ø anrechenbares Erwerbseinkommen</t>
  </si>
  <si>
    <t>Bedürftige Kinder</t>
  </si>
  <si>
    <t>Kind 1</t>
  </si>
  <si>
    <t>Kind 2</t>
  </si>
  <si>
    <t>Kind 3</t>
  </si>
  <si>
    <t>Kind 4</t>
  </si>
  <si>
    <t>Kind 5</t>
  </si>
  <si>
    <t>Kind 6</t>
  </si>
  <si>
    <t>Kind 7</t>
  </si>
  <si>
    <t>Elternteil 2</t>
  </si>
  <si>
    <t>1. Monat</t>
  </si>
  <si>
    <t>2. Monat</t>
  </si>
  <si>
    <t>3. Monat</t>
  </si>
  <si>
    <t>4. Monat</t>
  </si>
  <si>
    <t>5. Monat</t>
  </si>
  <si>
    <t>6. Monat</t>
  </si>
  <si>
    <t xml:space="preserve">Erwerbseinkommen steuerlich privilegiert </t>
  </si>
  <si>
    <t>Sonstiges Einkommen Alleinerziehende/r</t>
  </si>
  <si>
    <r>
      <t>Sonstiges Einkommen (</t>
    </r>
    <r>
      <rPr>
        <u/>
        <sz val="11"/>
        <color theme="1"/>
        <rFont val="Calibri"/>
        <family val="2"/>
        <scheme val="minor"/>
      </rPr>
      <t>ohne</t>
    </r>
    <r>
      <rPr>
        <sz val="11"/>
        <color theme="1"/>
        <rFont val="Calibri"/>
        <family val="2"/>
        <scheme val="minor"/>
      </rPr>
      <t xml:space="preserve"> Wohngeld und  SGB II-Leistungen)</t>
    </r>
  </si>
  <si>
    <t>Grundabsetzungsbetrag Zwischenschritt</t>
  </si>
  <si>
    <t>Bedürftige Kinder nach Kindeink. "SGB II…"</t>
  </si>
  <si>
    <t>Abzug Versicherungspauschale, wenn kein Erwerbseinkommen  vorhanden</t>
  </si>
  <si>
    <t>Bedürfitge Kinder nach Prüfung Zeile 7</t>
  </si>
  <si>
    <t>Weitere Absetzungen (KFZ-Haftpflicht, Riesterbeitrag, falls kein Erwerbseinkommen)</t>
  </si>
  <si>
    <t>Bedürftige Kinder (Zeile) mit Kindergeld</t>
  </si>
  <si>
    <t>bereinigtes sonstiges Einkommen</t>
  </si>
  <si>
    <t>Grundabsetzung Erwerbseink.</t>
  </si>
  <si>
    <t>Ø anrechenbares sonstiges Einkommen</t>
  </si>
  <si>
    <t>Grundasetzung steuerlich privilegiert</t>
  </si>
  <si>
    <t>Grundabsetzung gesamt</t>
  </si>
  <si>
    <t>Anrechnung des Elterneinkommens oberhalb des elterlichen Bedarfs (bei Erwerbseinkommen Anrechnung zu 45%)</t>
  </si>
  <si>
    <t>Einkommen oberhalb des Elternbedarfs</t>
  </si>
  <si>
    <t>Anrechenbetrag</t>
  </si>
  <si>
    <t xml:space="preserve">Anrechenbetrag </t>
  </si>
  <si>
    <t>KiZ rechnerisch (vor Prüfung der Bedarfsdeckung)</t>
  </si>
  <si>
    <t>Wohngeld nach Wohngeldrechner MV</t>
  </si>
  <si>
    <t>Nach Prüfung, ob Hilfebedürftigkeit überwunden wird</t>
  </si>
  <si>
    <t>KiZ-Auszahlungsbetrag (gerundet)</t>
  </si>
  <si>
    <t>Überprüfung, ob mit Kinderzuschlag die Hilfebedürftigkeit überwunden wird (hierbei wird bei Eltern und Kinder das Ø-Einkommen der letzten 6 Monate berücksichtigt und das aktuelle Wohngeld, aktuelle Kindergeld und ein möglicher Kinderzuschlag)</t>
  </si>
  <si>
    <t xml:space="preserve"> </t>
  </si>
  <si>
    <t>gesamt:</t>
  </si>
  <si>
    <t>Ø-Einkommen berücksichtigt</t>
  </si>
  <si>
    <t>SGB II Bedarf Kinder nach Berücksichtigung Ø-Eink. Kinder ohne Kindergeld § 6a Abs. 3 BKGG</t>
  </si>
  <si>
    <t>SGB II Gesamtbedarf  nach Berücksichtigung Ø-Eink. Kinder ohne Kindergeld § 6a Abs. 3 BKGG</t>
  </si>
  <si>
    <t>Anrechenbares Einkommen zur Überwindung Hilfebedürftigkeit nachdem das Ø-Einkommen der Kinder vorab individuell berücksichtigt wurde</t>
  </si>
  <si>
    <t>anrechenbares Kindergeld pro Kind</t>
  </si>
  <si>
    <t xml:space="preserve">anrechenbares Kindergeld in der Summe </t>
  </si>
  <si>
    <t>Wohngeld</t>
  </si>
  <si>
    <t>Anrechenbares Ø-Elterneinkommen</t>
  </si>
  <si>
    <t>Hilfebedarf vor Anrechnung  Kinderzuschlag (rechnerisch)</t>
  </si>
  <si>
    <t>Hilfebedarf nach Anrechnung Kinderzuschlag (rechnerisch)</t>
  </si>
  <si>
    <t>Absetzbetrag § 6a Abs. 1a BKGG mind. 100 Euro</t>
  </si>
  <si>
    <t>KiZ, da Hilfebdürftigkeit überwunden</t>
  </si>
  <si>
    <r>
      <t xml:space="preserve">KiZ, </t>
    </r>
    <r>
      <rPr>
        <b/>
        <u/>
        <sz val="11"/>
        <color theme="1"/>
        <rFont val="Calibri"/>
        <family val="2"/>
        <scheme val="minor"/>
      </rPr>
      <t>nur</t>
    </r>
    <r>
      <rPr>
        <sz val="11"/>
        <color theme="1"/>
        <rFont val="Calibri"/>
        <family val="2"/>
        <scheme val="minor"/>
      </rPr>
      <t xml:space="preserve"> aufgrund § 6a Abs.1a BKGG möglich</t>
    </r>
  </si>
  <si>
    <t>KiZ-rechnerisch</t>
  </si>
  <si>
    <t>KiZ Auszahlungsbetrag gerundet</t>
  </si>
  <si>
    <t>Gesamteinkommen Brutto Elternteil 2</t>
  </si>
  <si>
    <r>
      <t xml:space="preserve">Freibetr. v. </t>
    </r>
    <r>
      <rPr>
        <b/>
        <sz val="11"/>
        <color rgb="FFFF0000"/>
        <rFont val="Calibri"/>
        <family val="2"/>
        <scheme val="minor"/>
      </rPr>
      <t xml:space="preserve">Brutto-LOHN-Eink. </t>
    </r>
    <r>
      <rPr>
        <sz val="11"/>
        <color rgb="FFFF0000"/>
        <rFont val="Calibri"/>
        <family val="2"/>
        <scheme val="minor"/>
      </rPr>
      <t>zw. 0-100 (100%: max 100€):</t>
    </r>
  </si>
  <si>
    <r>
      <t xml:space="preserve">Freibetr. v. </t>
    </r>
    <r>
      <rPr>
        <b/>
        <sz val="11"/>
        <color rgb="FFFF0000"/>
        <rFont val="Calibri"/>
        <family val="2"/>
        <scheme val="minor"/>
      </rPr>
      <t xml:space="preserve">Brutto-LOHN-Eink. </t>
    </r>
    <r>
      <rPr>
        <sz val="11"/>
        <color rgb="FFFF0000"/>
        <rFont val="Calibri"/>
        <family val="2"/>
        <scheme val="minor"/>
      </rPr>
      <t>zw. 100-1000 (20%: max 180€):</t>
    </r>
  </si>
  <si>
    <r>
      <t xml:space="preserve">Freibetr. v. </t>
    </r>
    <r>
      <rPr>
        <b/>
        <sz val="11"/>
        <color rgb="FFFF0000"/>
        <rFont val="Calibri"/>
        <family val="2"/>
        <scheme val="minor"/>
      </rPr>
      <t xml:space="preserve">Brutto-LOHN-Eink. </t>
    </r>
    <r>
      <rPr>
        <sz val="11"/>
        <color rgb="FFFF0000"/>
        <rFont val="Calibri"/>
        <family val="2"/>
        <scheme val="minor"/>
      </rPr>
      <t>zw. 1000-1200 (10%: max 20€):</t>
    </r>
  </si>
  <si>
    <r>
      <t xml:space="preserve">Freibetr. v. </t>
    </r>
    <r>
      <rPr>
        <b/>
        <sz val="11"/>
        <color rgb="FFFF0000"/>
        <rFont val="Calibri"/>
        <family val="2"/>
        <scheme val="minor"/>
      </rPr>
      <t xml:space="preserve">Brutto-LOHN-Eink. </t>
    </r>
    <r>
      <rPr>
        <sz val="11"/>
        <color rgb="FFFF0000"/>
        <rFont val="Calibri"/>
        <family val="2"/>
        <scheme val="minor"/>
      </rPr>
      <t>ab 1. minderj. Kind zw. 1200-1500 (10%: max 30€):</t>
    </r>
  </si>
  <si>
    <t>Freibetrag insgesamt ohne Kind</t>
  </si>
  <si>
    <t>Freibetrag insgesamt mit Kind</t>
  </si>
  <si>
    <t>Verweis Erwerbstätigenfreibetrag (+ Grundabsetzungsbetrag) ohne minderjähriges Kind</t>
  </si>
  <si>
    <t>Verweis Erwerbstätigenfreibetrag (+ Grundabsetzungsbetrag) mit minderjähriges Kind</t>
  </si>
  <si>
    <t>Ergebnis Verwei</t>
  </si>
  <si>
    <t>Ergebnis Verweis</t>
  </si>
  <si>
    <t>Grundabsetzungsbetrag</t>
  </si>
  <si>
    <t>Gesamtfreistellungsbetrag</t>
  </si>
  <si>
    <t>Berechnung für Elterneinkommen 1 von U-25 in Ausbildung ab Juli 2023</t>
  </si>
  <si>
    <t>Unter 25 im jeweiligen Monat</t>
  </si>
  <si>
    <t>Grundfreibetrag</t>
  </si>
  <si>
    <t>Freibetrag zwischen 520 und 1000 Euro</t>
  </si>
  <si>
    <t>Freibetrag zwischen 1000 und 1200 Euro</t>
  </si>
  <si>
    <t>Freibetrag zwischen 1200und 1500 Euro</t>
  </si>
  <si>
    <t>Gesamtfreibetrag</t>
  </si>
  <si>
    <t>ohne Kind unter 18 Jahre</t>
  </si>
  <si>
    <t>Für aktuellen Fall</t>
  </si>
  <si>
    <t>Alleinerziehende/-stehend</t>
  </si>
  <si>
    <t>Minderjähriges Kind außerhalb der BG:</t>
  </si>
  <si>
    <t>außer/in der BG:</t>
  </si>
  <si>
    <t>Kinder unter 18</t>
  </si>
  <si>
    <t>ab 7/2023:</t>
  </si>
  <si>
    <t>Kinder u 18 Einkommen</t>
  </si>
  <si>
    <t>Alter der Kinder (unter 1 J. = 1)</t>
  </si>
  <si>
    <t>minderj. Kind außerhalb der BG</t>
  </si>
  <si>
    <t>ja</t>
  </si>
  <si>
    <r>
      <t xml:space="preserve">ab </t>
    </r>
    <r>
      <rPr>
        <b/>
        <u/>
        <sz val="11"/>
        <color theme="1"/>
        <rFont val="Calibri"/>
        <family val="2"/>
        <scheme val="minor"/>
      </rPr>
      <t>Juli 2023</t>
    </r>
    <r>
      <rPr>
        <b/>
        <sz val="11"/>
        <color theme="1"/>
        <rFont val="Calibri"/>
        <family val="2"/>
        <scheme val="minor"/>
      </rPr>
      <t xml:space="preserve"> Unter 25 und in Ausbildung</t>
    </r>
  </si>
  <si>
    <t>Regelbedarf</t>
  </si>
  <si>
    <t>MB Warmwasser</t>
  </si>
  <si>
    <t>Mehrbedarf alleinerziehend</t>
  </si>
  <si>
    <t>sonstige Mehrbedarfe</t>
  </si>
  <si>
    <t>Grundmiete</t>
  </si>
  <si>
    <t>Kalte Nebenkosten</t>
  </si>
  <si>
    <t>Heizung</t>
  </si>
  <si>
    <t>Gesamtbedarf</t>
  </si>
  <si>
    <t>Anzahl Kinder</t>
  </si>
  <si>
    <t>Kind unter 7</t>
  </si>
  <si>
    <t>Kind unter 16</t>
  </si>
  <si>
    <t>pro Kind</t>
  </si>
  <si>
    <t>Anzahh Kinder</t>
  </si>
  <si>
    <t>Auswahl</t>
  </si>
  <si>
    <t xml:space="preserve">Begrenzung </t>
  </si>
  <si>
    <t xml:space="preserve">Einkommen </t>
  </si>
  <si>
    <t>Erwerbseinkommen</t>
  </si>
  <si>
    <t>U 25 Jahre alt und in Ausbildung</t>
  </si>
  <si>
    <t xml:space="preserve">Regelbedarfe nach Jahrgängen </t>
  </si>
  <si>
    <t>brutto</t>
  </si>
  <si>
    <t>Alleinstehend</t>
  </si>
  <si>
    <t>SVERWEIS Jahr</t>
  </si>
  <si>
    <t>Berechnungsjahr</t>
  </si>
  <si>
    <t>netto</t>
  </si>
  <si>
    <t>Erwerbseink. gesamt (netto)</t>
  </si>
  <si>
    <t>Freibetrag</t>
  </si>
  <si>
    <t>Grundabsetzung (Zwischenwert): Wenn steuerlich privilegiertes Einkommen berücksichtigt wird</t>
  </si>
  <si>
    <t>anrechenbares Elterngeld</t>
  </si>
  <si>
    <t>Grundabsetzung ab 7/2023</t>
  </si>
  <si>
    <t>Kindergeld</t>
  </si>
  <si>
    <t>Anrechnung des Kindergelds</t>
  </si>
  <si>
    <t>Unterhalt(svorschuss)</t>
  </si>
  <si>
    <t>Waisenrente</t>
  </si>
  <si>
    <t>Arbeitslosengeld</t>
  </si>
  <si>
    <t>sonstiges Einkommen 2</t>
  </si>
  <si>
    <t>Anzahl Haushaltsmitglieder</t>
  </si>
  <si>
    <t>weitere Absetzungen, wenn nicht beim Erwerbs-EK  berücksichtigt</t>
  </si>
  <si>
    <t>Verteilung Miete</t>
  </si>
  <si>
    <t>titulierte Unterhaltspflicht</t>
  </si>
  <si>
    <t>Kinder mit Kindergeld</t>
  </si>
  <si>
    <t>anrechenbares Einkommen</t>
  </si>
  <si>
    <r>
      <t xml:space="preserve">Bedarf nach Anrechnung des </t>
    </r>
    <r>
      <rPr>
        <u/>
        <sz val="11"/>
        <color theme="1"/>
        <rFont val="Calibri"/>
        <family val="2"/>
        <scheme val="minor"/>
      </rPr>
      <t>persönlichen Einkommens</t>
    </r>
  </si>
  <si>
    <t>Freibetr. v. Brutto-LOHN-Eink. zw. 0-100 (100%: max 100€):</t>
  </si>
  <si>
    <t>verbleibender Gesamtbedarf</t>
  </si>
  <si>
    <r>
      <t xml:space="preserve">Freibetr. v. </t>
    </r>
    <r>
      <rPr>
        <b/>
        <sz val="11"/>
        <color theme="1"/>
        <rFont val="Calibri"/>
        <family val="2"/>
        <scheme val="minor"/>
      </rPr>
      <t xml:space="preserve">Brutto-LOHN-Eink. </t>
    </r>
    <r>
      <rPr>
        <sz val="11"/>
        <color theme="1"/>
        <rFont val="Calibri"/>
        <family val="2"/>
        <scheme val="minor"/>
      </rPr>
      <t>zw. 100-1000 (20%: max 180€):</t>
    </r>
  </si>
  <si>
    <t>davon prozentuale Anteile</t>
  </si>
  <si>
    <r>
      <t xml:space="preserve">Freibetr. v. </t>
    </r>
    <r>
      <rPr>
        <b/>
        <sz val="11"/>
        <color theme="1"/>
        <rFont val="Calibri"/>
        <family val="2"/>
        <scheme val="minor"/>
      </rPr>
      <t xml:space="preserve">Brutto-LOHN-Eink. </t>
    </r>
    <r>
      <rPr>
        <sz val="11"/>
        <color theme="1"/>
        <rFont val="Calibri"/>
        <family val="2"/>
        <scheme val="minor"/>
      </rPr>
      <t>zw. 1000-1200 (10%: max 20€):</t>
    </r>
  </si>
  <si>
    <r>
      <t xml:space="preserve">Freibetr. v. </t>
    </r>
    <r>
      <rPr>
        <b/>
        <sz val="11"/>
        <color theme="1"/>
        <rFont val="Calibri"/>
        <family val="2"/>
        <scheme val="minor"/>
      </rPr>
      <t xml:space="preserve">Brutto-LOHN-Eink. </t>
    </r>
    <r>
      <rPr>
        <sz val="11"/>
        <color theme="1"/>
        <rFont val="Calibri"/>
        <family val="2"/>
        <scheme val="minor"/>
      </rPr>
      <t>ab 1. minderj. Kind zw. 1200-1500 (10%: max 30€):</t>
    </r>
  </si>
  <si>
    <t>Leistungsanspruch</t>
  </si>
  <si>
    <t>m. Kind</t>
  </si>
  <si>
    <t>Sofortzuschlag 1. Voraussetzung</t>
  </si>
  <si>
    <t>Sofortzuschlag 2. Voraussetzung (alternativ)</t>
  </si>
  <si>
    <t>o. Kind</t>
  </si>
  <si>
    <t>Erwerbstätigenfreibetrag ab Juli 2023 im Einkommenskorridor  520 Euro bis 1.000 Euro</t>
  </si>
  <si>
    <t>Grundabsetzung U-25 in Ausbildung</t>
  </si>
  <si>
    <t xml:space="preserve">Sonderfall: Leistungsansprüche von Kindern Studierender,die selbst vom SGB II, aber nicht den SGB II Mehrbedarfe, ausgeschlossen sind: </t>
  </si>
  <si>
    <t>"wahr"</t>
  </si>
  <si>
    <t>Erwerbstätigenfreibetrag ab Juli 2023 U-25 in Ausbildung</t>
  </si>
  <si>
    <t xml:space="preserve">Ergebnis: Sonderfall der vertikalen Anrechnung von Einkommen bei ausgeschlossenen Studierenden mit Anspruch auf Mehrbedarfe  </t>
  </si>
  <si>
    <t>Studierende</t>
  </si>
  <si>
    <t>Persönlicher Bedarf</t>
  </si>
  <si>
    <t>Persönliches Einkommen</t>
  </si>
  <si>
    <t>Überschießendes Einkommen</t>
  </si>
  <si>
    <t>Bedarf der Leistungsberechtigten (ALG II oder Sozialgeld)</t>
  </si>
  <si>
    <t>davon Bedarfsanteil</t>
  </si>
  <si>
    <t>Zuordnung überschießendes Eink.</t>
  </si>
  <si>
    <t>Anspruch (bei Studierende max. die Mehrbedarfe)</t>
  </si>
  <si>
    <t xml:space="preserve">Wichtige Information: Studierende mit Kindern sind nicht vom Wohngeld ausgeschlossen. Da BAföG nur zu einem Viertel (Hälfte des Zuschusses) und der Kinderbetreuungszuschlag nicht als Einkommen im Wohngeldrecht gelten, ist der Wohngeldbezug in der Regel die günstigere Alternative. Unbedingt sollte daher eine Wohngeld-Kontrollberechnung durchgeführt werden. </t>
  </si>
  <si>
    <t>Summe:</t>
  </si>
  <si>
    <t>anrechenbares Kindereinkommen</t>
  </si>
  <si>
    <t>angerechnetes Kinder-EK ohne zugeordnetem Kindergeld</t>
  </si>
  <si>
    <t>Versicherungspauschale f. KG nach Berücksichtigung Erwerbseinkommen</t>
  </si>
  <si>
    <t>Einkommen (kein Erwerb, kein KG)</t>
  </si>
  <si>
    <t>Versp. für übriges Ek A73</t>
  </si>
  <si>
    <t>vom KG absetzbare Versp.</t>
  </si>
  <si>
    <t>Kindergeld minus Versicherungspauschale</t>
  </si>
  <si>
    <t>Kalenderjahr</t>
  </si>
  <si>
    <t>Vor Juli 2023:</t>
  </si>
  <si>
    <t xml:space="preserve">Familie A. </t>
  </si>
  <si>
    <t>Anzahl Kinder (mit Kindergeld in Tabelle "Paare")</t>
  </si>
  <si>
    <t>Höchstbetrag:</t>
  </si>
  <si>
    <t>davon berücksichtigte Kinder</t>
  </si>
  <si>
    <r>
      <t xml:space="preserve">Wenn Ø-Einkommen der jeweiligen Kinder </t>
    </r>
    <r>
      <rPr>
        <b/>
        <sz val="10"/>
        <color theme="1"/>
        <rFont val="Calibri"/>
        <family val="2"/>
        <scheme val="minor"/>
      </rPr>
      <t>nicht</t>
    </r>
    <r>
      <rPr>
        <sz val="10"/>
        <color theme="1"/>
        <rFont val="Calibri"/>
        <family val="2"/>
        <scheme val="minor"/>
      </rPr>
      <t xml:space="preserve"> mit dem jeweiligen Kindereinkommen</t>
    </r>
    <r>
      <rPr>
        <b/>
        <sz val="10"/>
        <color theme="1"/>
        <rFont val="Calibri"/>
        <family val="2"/>
        <scheme val="minor"/>
      </rPr>
      <t xml:space="preserve"> Tabelle "SGB II Paare ..."</t>
    </r>
    <r>
      <rPr>
        <sz val="10"/>
        <color theme="1"/>
        <rFont val="Calibri"/>
        <family val="2"/>
        <scheme val="minor"/>
      </rPr>
      <t xml:space="preserve"> identisch ist, muss es unter dieser Zeile für jedes Kind eingegeben werden. Wichtig: Kindergeld stellt kein Einkommen dar. Das Einkommen muss wie im SGB II bereinigt werden. Wird kein Kindereinkommen angegeben, </t>
    </r>
    <r>
      <rPr>
        <b/>
        <u/>
        <sz val="10"/>
        <color theme="1"/>
        <rFont val="Calibri"/>
        <family val="2"/>
        <scheme val="minor"/>
      </rPr>
      <t>wird der Wert aus der Tabelle "SGB II Paare..." als Ø-Einkommen übernommen</t>
    </r>
    <r>
      <rPr>
        <sz val="10"/>
        <color theme="1"/>
        <rFont val="Calibri"/>
        <family val="2"/>
        <scheme val="minor"/>
      </rPr>
      <t>.</t>
    </r>
  </si>
  <si>
    <r>
      <t xml:space="preserve">Ø-Einkommen der Kinder, </t>
    </r>
    <r>
      <rPr>
        <b/>
        <sz val="11"/>
        <color theme="1"/>
        <rFont val="Calibri"/>
        <family val="2"/>
        <scheme val="minor"/>
      </rPr>
      <t>wenn nicht Tabelle "SGB II Paare…"</t>
    </r>
  </si>
  <si>
    <t>Elternbedarf: Bedarfe der Unterkunft in Prozent</t>
  </si>
  <si>
    <r>
      <t xml:space="preserve">Elternteil 1 </t>
    </r>
    <r>
      <rPr>
        <b/>
        <sz val="11"/>
        <color rgb="FFFF0000"/>
        <rFont val="Calibri"/>
        <family val="2"/>
        <scheme val="minor"/>
      </rPr>
      <t>(</t>
    </r>
    <r>
      <rPr>
        <b/>
        <u/>
        <sz val="11"/>
        <color rgb="FFFF0000"/>
        <rFont val="Calibri"/>
        <family val="2"/>
        <scheme val="minor"/>
      </rPr>
      <t xml:space="preserve">nur </t>
    </r>
    <r>
      <rPr>
        <b/>
        <sz val="11"/>
        <color rgb="FFFF0000"/>
        <rFont val="Calibri"/>
        <family val="2"/>
        <scheme val="minor"/>
      </rPr>
      <t>ab Juli 2023</t>
    </r>
    <r>
      <rPr>
        <b/>
        <sz val="11"/>
        <color theme="1"/>
        <rFont val="Calibri"/>
        <family val="2"/>
        <scheme val="minor"/>
      </rPr>
      <t xml:space="preserve"> anklicken, wenn unter 25 Jahre und in Ausbildung) </t>
    </r>
  </si>
  <si>
    <t>Kind1</t>
  </si>
  <si>
    <t>Kind2</t>
  </si>
  <si>
    <t>Kind3</t>
  </si>
  <si>
    <t>Kind4</t>
  </si>
  <si>
    <t>Kind5</t>
  </si>
  <si>
    <t>Kind6</t>
  </si>
  <si>
    <t>Kind7</t>
  </si>
  <si>
    <t>Zwischenrechnung Grundabsetzungsbetrag ab I26</t>
  </si>
  <si>
    <t>Berücksichtigtes steuerbegünstigtes Eink. vor 7/2023</t>
  </si>
  <si>
    <t>titulierte Unterhaltsverpflichtungen</t>
  </si>
  <si>
    <t>anrechenb. Erwerbseink. Rechnerisch (auch Negativbeträge)</t>
  </si>
  <si>
    <t>anrechenbares Erwerbseinkommen</t>
  </si>
  <si>
    <t>Ø-Absetzbetrag</t>
  </si>
  <si>
    <r>
      <t xml:space="preserve">Elternteil 2 </t>
    </r>
    <r>
      <rPr>
        <b/>
        <u/>
        <sz val="11"/>
        <color rgb="FFFF0000"/>
        <rFont val="Calibri"/>
        <family val="2"/>
      </rPr>
      <t>(nur</t>
    </r>
    <r>
      <rPr>
        <b/>
        <sz val="11"/>
        <color theme="1"/>
        <rFont val="Calibri"/>
        <family val="2"/>
      </rPr>
      <t xml:space="preserve"> </t>
    </r>
    <r>
      <rPr>
        <b/>
        <sz val="11"/>
        <color rgb="FFFF0000"/>
        <rFont val="Calibri"/>
        <family val="2"/>
      </rPr>
      <t xml:space="preserve">ab Juli 2023 </t>
    </r>
    <r>
      <rPr>
        <b/>
        <sz val="11"/>
        <color theme="1"/>
        <rFont val="Calibri"/>
        <family val="2"/>
      </rPr>
      <t xml:space="preserve">anklicken, wenn unter 25 Jahre und in Ausbildung) </t>
    </r>
  </si>
  <si>
    <r>
      <t xml:space="preserve">Freibetr. v. </t>
    </r>
    <r>
      <rPr>
        <b/>
        <sz val="11"/>
        <color theme="1"/>
        <rFont val="Calibri"/>
        <family val="2"/>
        <scheme val="minor"/>
      </rPr>
      <t xml:space="preserve">Brutto-LOHN-Eink. </t>
    </r>
    <r>
      <rPr>
        <sz val="11"/>
        <color theme="1"/>
        <rFont val="Calibri"/>
        <family val="2"/>
        <scheme val="minor"/>
      </rPr>
      <t>zw. 0-100 (100%: max 100€):</t>
    </r>
  </si>
  <si>
    <t>Berechnung Freibetrag ab Juli 2023</t>
  </si>
  <si>
    <t>Mit minderjährigem Kind</t>
  </si>
  <si>
    <t>Freibetrag insgesamt</t>
  </si>
  <si>
    <t>ohne minderjähriges Kind</t>
  </si>
  <si>
    <t>Ohne Kind</t>
  </si>
  <si>
    <t>anrechenb. Erwerbseink. (auch Negativbeträge)</t>
  </si>
  <si>
    <t>Ø-Gesamtabsetzungen Erwerbseink.</t>
  </si>
  <si>
    <t>Berechnung Freibetrag ab Juli 2023 mit minderjährigem Kind</t>
  </si>
  <si>
    <t>Sonstiges Einkommen (hier für beide Elternteile summiert eingeben)</t>
  </si>
  <si>
    <r>
      <t>Sonstiges Einkommen der Eltern (</t>
    </r>
    <r>
      <rPr>
        <u/>
        <sz val="11"/>
        <color theme="1"/>
        <rFont val="Calibri"/>
        <family val="2"/>
        <scheme val="minor"/>
      </rPr>
      <t>ohne</t>
    </r>
    <r>
      <rPr>
        <sz val="11"/>
        <color theme="1"/>
        <rFont val="Calibri"/>
        <family val="2"/>
        <scheme val="minor"/>
      </rPr>
      <t xml:space="preserve"> Wohngeld und SGB II-Leistungen)</t>
    </r>
  </si>
  <si>
    <t>ohne minderjährigem Kind</t>
  </si>
  <si>
    <t>Abzug Versicherungspauschale(n), wenn kein Erwerbseinkommen (des Elternteils) vorhanden</t>
  </si>
  <si>
    <t>Ø sonstiges Einkommen</t>
  </si>
  <si>
    <t xml:space="preserve">Anrechnung des Elterneinkommens oberhalb des elterlichen Bedarfs </t>
  </si>
  <si>
    <t>KiZ rechnerisch</t>
  </si>
  <si>
    <t>WG nach Wohngeldrechner MV im Antragsmonat</t>
  </si>
  <si>
    <t>Gesamt:</t>
  </si>
  <si>
    <t>Kindergeld in der Summe nach B59</t>
  </si>
  <si>
    <t xml:space="preserve">negativer Wert bedeutet Überwindung der Hilfebedürftigkeit </t>
  </si>
  <si>
    <t>KiZ, da Hilfebdürftigkeit nach BKGG überwunden ist</t>
  </si>
  <si>
    <t>Berechnung für Elterneinkommen 2 von U-25 in Ausbildung ab Juli 2023</t>
  </si>
  <si>
    <t>Partner*in 1</t>
  </si>
  <si>
    <t>Partner*in 2</t>
  </si>
  <si>
    <t>Minderj. Kind außerhalb der BG</t>
  </si>
  <si>
    <t>Minderjähriges Kind in der BG</t>
  </si>
  <si>
    <t>Minderjähriges Kind Partner1</t>
  </si>
  <si>
    <t>Minderjähriges Kind Partner2</t>
  </si>
  <si>
    <t>minderj. Kind Partner1 / Parnter2</t>
  </si>
  <si>
    <t>ab Juli 2023 "Unter 25 und in Ausbildung"</t>
  </si>
  <si>
    <t>U 25 in Ausbildung</t>
  </si>
  <si>
    <t>Regelbedarfe</t>
  </si>
  <si>
    <t>Warmwasser</t>
  </si>
  <si>
    <t>mögliche Mehrbedarfe abfragen und eintragen</t>
  </si>
  <si>
    <t xml:space="preserve">Erwerbseinkommen </t>
  </si>
  <si>
    <t>berücksichtigtes steuerliches Eink.</t>
  </si>
  <si>
    <t>Grundabsetzung (Zwischenwert):</t>
  </si>
  <si>
    <t>Haushaltsmitglieder</t>
  </si>
  <si>
    <t>Kinder mit Kindergeld:</t>
  </si>
  <si>
    <t>abzgl. Versicherungspauschale soweit nicht in Zeile 35 berücksichtigt</t>
  </si>
  <si>
    <t>anr. Gesamteinkommen</t>
  </si>
  <si>
    <r>
      <t xml:space="preserve">Bedarf nach Anrechnung des </t>
    </r>
    <r>
      <rPr>
        <b/>
        <u/>
        <sz val="11"/>
        <color theme="1"/>
        <rFont val="Calibri"/>
        <family val="2"/>
        <scheme val="minor"/>
      </rPr>
      <t>persönlichen</t>
    </r>
    <r>
      <rPr>
        <b/>
        <sz val="11"/>
        <color theme="1"/>
        <rFont val="Calibri"/>
        <family val="2"/>
        <scheme val="minor"/>
      </rPr>
      <t xml:space="preserve"> Einkommens</t>
    </r>
  </si>
  <si>
    <t>verbleibender SGB II-Gesamtbedarf</t>
  </si>
  <si>
    <t>vertikal:</t>
  </si>
  <si>
    <t>o-.Kind</t>
  </si>
  <si>
    <t>davon prozentuale Bedarfsanteile</t>
  </si>
  <si>
    <t>Kindereinkommen:</t>
  </si>
  <si>
    <t>Verteilung des Partnereinkommens</t>
  </si>
  <si>
    <t>Leistungsanspruch ohne Sofortzuschlag</t>
  </si>
  <si>
    <t>Grundabsetzungsbetrag U-25 in Ausbildung</t>
  </si>
  <si>
    <t>Erwerbstätigenfreibetrag U-25 in Ausbildung</t>
  </si>
  <si>
    <t>Erwerbstätigenfreibetrag U-25 in Ausbildung u. mindj. Kind</t>
  </si>
  <si>
    <t>Leistungsanspruch für alle Zeiträume</t>
  </si>
  <si>
    <t>Hilfsrechnung bei vertikaler Anrechnung von Einkommen in Spalte D</t>
  </si>
  <si>
    <t>Bedarf nach Anrechnung persönlichen Einkommens</t>
  </si>
  <si>
    <t>davon Prozentteile</t>
  </si>
  <si>
    <t xml:space="preserve">Leistungsanspruch </t>
  </si>
  <si>
    <t>Verteilung Elterneinkommen (überschießendes Einkommen)</t>
  </si>
  <si>
    <t>Versicherungspauschale</t>
  </si>
  <si>
    <t>Wenn</t>
  </si>
  <si>
    <t>Bedürftige Kinder ohne Kindergeld:</t>
  </si>
  <si>
    <t>Kindergeld in der Summe:</t>
  </si>
  <si>
    <t>Berechnung Leistungsanspruch ohne Kindergeld (eventuell löschen):</t>
  </si>
  <si>
    <t>Bedarf nach Anrechnung des Einkommens ohne Kindergeld</t>
  </si>
  <si>
    <t>Leistungsanspruch ohne Kindergeld:</t>
  </si>
  <si>
    <t>Hilfstabelle "Absetzungen beim Erwerbseinkommen" oberhalb von 400 Euro</t>
  </si>
  <si>
    <t>Name der Person</t>
  </si>
  <si>
    <t>Riestervertrag</t>
  </si>
  <si>
    <t>Bruttoeinkommen</t>
  </si>
  <si>
    <t>Arbeitstage im Monat</t>
  </si>
  <si>
    <t>Anzahl zulageberechtigter Kinder falls "Riestervertrag"</t>
  </si>
  <si>
    <t xml:space="preserve">Berechnung der Absetzungen </t>
  </si>
  <si>
    <t>Fahrtkosten ÖPNV:</t>
  </si>
  <si>
    <t>Fahrtkosten, falls mit KFZ</t>
  </si>
  <si>
    <t>"Riesterrentenbeitrag" absetzbar rechnerisch</t>
  </si>
  <si>
    <t>"Riesterrentenbeitrag" absetzbar</t>
  </si>
  <si>
    <t>Gesamtabsetzungen oberhalb 100 Euro:</t>
  </si>
  <si>
    <t>Gesamtabsetzungen oberhalb 100 Euro: ist in Zeile "Werbungskosten oberhalb des Grundabsetzungsbetrags" einzutragen</t>
  </si>
  <si>
    <t>Tage neuer Regelbedarfsstufe rechnerisch im SGB II</t>
  </si>
  <si>
    <t>Liste Regelbedarfe 2021</t>
  </si>
  <si>
    <t>Liste Regelbedarfe 2022</t>
  </si>
  <si>
    <t>Liste Regelbedarf 2023</t>
  </si>
  <si>
    <t>Kalenderjahr 2021</t>
  </si>
  <si>
    <t>Kalenderjahr 2022</t>
  </si>
  <si>
    <t>Kalenderjahr 2023</t>
  </si>
  <si>
    <t>bisherige Regelbedarfsstufe:</t>
  </si>
  <si>
    <t>neue Regelbedarfstufe:</t>
  </si>
  <si>
    <t>Tagesdifferenz:</t>
  </si>
  <si>
    <t>Differenz im Kalendermonat als Mehrbedarf einzugeben, wenn kein Mehrbedarf Warmwasser vorhanden ist:</t>
  </si>
  <si>
    <t>bisheriger Warmwassermehrbedarf</t>
  </si>
  <si>
    <t xml:space="preserve">neuer Warmwassermehbedarf </t>
  </si>
  <si>
    <t>Tagesdifferenz</t>
  </si>
  <si>
    <t>Differenz im Kalendermonat</t>
  </si>
  <si>
    <t>Differenz im Kalendermonat als Mehrbedarf einzugeben, wenn Mehrbedarf Warmwasser vorhanden ist</t>
  </si>
  <si>
    <t>Temporäre Bedarfsgemeinschaft</t>
  </si>
  <si>
    <t>Liste Kalendermonat</t>
  </si>
  <si>
    <t>Tage des Kalendermonats</t>
  </si>
  <si>
    <t>Dezember</t>
  </si>
  <si>
    <t>Januar</t>
  </si>
  <si>
    <t>Februar</t>
  </si>
  <si>
    <t>Mehr als die Hälfte?</t>
  </si>
  <si>
    <t>beliebig</t>
  </si>
  <si>
    <t>berücksichtigte Tage</t>
  </si>
  <si>
    <t>Februar (29)</t>
  </si>
  <si>
    <t>März</t>
  </si>
  <si>
    <t>Ausgleichstage (Februar)</t>
  </si>
  <si>
    <t>Warmwassermehrbedarf?</t>
  </si>
  <si>
    <t>April</t>
  </si>
  <si>
    <t>Regelbedarfsstufe</t>
  </si>
  <si>
    <t>Mai</t>
  </si>
  <si>
    <t>Abzugstage (31er-Monate)</t>
  </si>
  <si>
    <t>Warmwasserbedarf</t>
  </si>
  <si>
    <t>Juni</t>
  </si>
  <si>
    <t>g</t>
  </si>
  <si>
    <t>Juli</t>
  </si>
  <si>
    <t>Liste Warmwasser</t>
  </si>
  <si>
    <t>b</t>
  </si>
  <si>
    <t>August</t>
  </si>
  <si>
    <t>September</t>
  </si>
  <si>
    <t>Oktober</t>
  </si>
  <si>
    <t>November</t>
  </si>
  <si>
    <t>p</t>
  </si>
  <si>
    <t>Hzk.-Zuschlag</t>
  </si>
  <si>
    <t>CTJB</t>
  </si>
  <si>
    <t>q</t>
  </si>
  <si>
    <t>Tabelle aus Anlage 1</t>
  </si>
  <si>
    <t>Personen</t>
  </si>
  <si>
    <t>a</t>
  </si>
  <si>
    <t>pQuadrat durch zwei</t>
  </si>
  <si>
    <t>c</t>
  </si>
  <si>
    <t>Tabelle aus Anlage 2</t>
  </si>
  <si>
    <t>M=Miete</t>
  </si>
  <si>
    <t>Y=Gesamteinkommen</t>
  </si>
  <si>
    <t>M</t>
  </si>
  <si>
    <t>Y</t>
  </si>
  <si>
    <t>Eingabe nur in grüne Felder</t>
  </si>
  <si>
    <t xml:space="preserve">Einkommensberechnung (ungeschützte Zellen) - freie Eingabe teilweise möglich </t>
  </si>
  <si>
    <t>Faktor auswählen</t>
  </si>
  <si>
    <t>Mietstufe:</t>
  </si>
  <si>
    <t>Person:</t>
  </si>
  <si>
    <t>Einkommensart:</t>
  </si>
  <si>
    <t>Höhe</t>
  </si>
  <si>
    <t>Spezialregelung?</t>
  </si>
  <si>
    <t>Absetzbetrag?</t>
  </si>
  <si>
    <t xml:space="preserve">Ergebnis </t>
  </si>
  <si>
    <t>Ergebnis nach Faktor</t>
  </si>
  <si>
    <t>max. berücksichtigte Miete</t>
  </si>
  <si>
    <t>Miete:</t>
  </si>
  <si>
    <t>Minimum</t>
  </si>
  <si>
    <t>berücksichtigte Miete</t>
  </si>
  <si>
    <t>Miete mit Hzk.-Zuschlag:</t>
  </si>
  <si>
    <t>Monatliches Gesamteinkommen:</t>
  </si>
  <si>
    <t>Anzahl Personen im Haushalt</t>
  </si>
  <si>
    <t>Rechenschritte nach Anlage 2 Nummer 2 mit jweils 10 Nachkommastellen</t>
  </si>
  <si>
    <t>z1</t>
  </si>
  <si>
    <t>z2</t>
  </si>
  <si>
    <t>z3</t>
  </si>
  <si>
    <t>z4</t>
  </si>
  <si>
    <t>Gesamteinkommen vor Abzug von Freibeträgen:</t>
  </si>
  <si>
    <t>Wohngeld nach Rundung auf vollen Eurobetrag</t>
  </si>
  <si>
    <t>Wohngeld:</t>
  </si>
  <si>
    <t>Einkommensgrenze (+/- ca. max. 2 Euro)</t>
  </si>
  <si>
    <t>Freibeträge und Abzugsbeträge (§§ 17, 17a, 18 WoGG)</t>
  </si>
  <si>
    <t>Betrag</t>
  </si>
  <si>
    <t>wohngeldrechtl. Ek.</t>
  </si>
  <si>
    <t>Höchstbeträge für Miete/Belastung</t>
  </si>
  <si>
    <t>Faktor 90% =</t>
  </si>
  <si>
    <t>Bruttolohn</t>
  </si>
  <si>
    <t>Faktor 80% =</t>
  </si>
  <si>
    <t>Faktor 70% =</t>
  </si>
  <si>
    <t>alleinerziehend, Kind unter 18 Jahre im Haushalt</t>
  </si>
  <si>
    <t>Grad der Behinderung 100</t>
  </si>
  <si>
    <t>schwerbehindert Grad unter 100 + gleichzeitiger häuslicher oder teilstationärer Pflege oder Kurzzeitpflege</t>
  </si>
  <si>
    <t xml:space="preserve">Opfer der nationalsozialistischen Verfolgung oder ihm im Sinne des Bundesentschädigungsgesetzes gleichgestellt </t>
  </si>
  <si>
    <t>Höhe der eigenen Einnahmen aus Erwerbstätigkeit jedes Kindes unter 25 Jahre eines Haushaltsmitgliedes, höchstens jedoch 100 Euro (1.200 Euro jährlich) hier Monatsbetrag</t>
  </si>
  <si>
    <t>rechts eingeben</t>
  </si>
  <si>
    <t>Freibetrag Grundrente</t>
  </si>
  <si>
    <t>Unterhaltsleistungen (§ 18 WoGG)</t>
  </si>
  <si>
    <t>Ergebnis anrechenbareas EInkommen:</t>
  </si>
  <si>
    <r>
      <t xml:space="preserve">Wenn Ø-Einkommen der jeweiligen Kinder </t>
    </r>
    <r>
      <rPr>
        <b/>
        <sz val="10"/>
        <color theme="1"/>
        <rFont val="Calibri"/>
        <family val="2"/>
        <scheme val="minor"/>
      </rPr>
      <t>nicht</t>
    </r>
    <r>
      <rPr>
        <sz val="10"/>
        <color theme="1"/>
        <rFont val="Calibri"/>
        <family val="2"/>
        <scheme val="minor"/>
      </rPr>
      <t xml:space="preserve"> mit dem jeweiligen Kindereinkommen in der Tabelle </t>
    </r>
    <r>
      <rPr>
        <b/>
        <sz val="10"/>
        <color theme="1"/>
        <rFont val="Calibri"/>
        <family val="2"/>
        <scheme val="minor"/>
      </rPr>
      <t>"SGB II alleinstehend /alleinerziehend"</t>
    </r>
    <r>
      <rPr>
        <sz val="10"/>
        <color theme="1"/>
        <rFont val="Calibri"/>
        <family val="2"/>
        <scheme val="minor"/>
      </rPr>
      <t xml:space="preserve"> identisch ist, muss es unter dieser Zeile für jedes Kind eingegeben werden. Wichtig: Kindergeld stellt kein Einkommen dar. Das Einkommen muss wie im SGB II bereinigt werden.</t>
    </r>
    <r>
      <rPr>
        <b/>
        <u/>
        <sz val="10"/>
        <color theme="1"/>
        <rFont val="Calibri"/>
        <family val="2"/>
        <scheme val="minor"/>
      </rPr>
      <t xml:space="preserve"> Wird kein Kindereinkommen angegeben, wird der Wert aus der Tabelle "SGB II alleinstehend - alleinerziehend" als Durchschnittswert übernommen</t>
    </r>
  </si>
  <si>
    <t>max. möglicher Kiz rechnerisch</t>
  </si>
  <si>
    <r>
      <t xml:space="preserve">Alleinerziehende/r (nur </t>
    </r>
    <r>
      <rPr>
        <b/>
        <sz val="11"/>
        <color rgb="FFFF0000"/>
        <rFont val="Calibri"/>
        <family val="2"/>
        <scheme val="minor"/>
      </rPr>
      <t>ab Juli 2023</t>
    </r>
    <r>
      <rPr>
        <b/>
        <sz val="11"/>
        <color theme="1"/>
        <rFont val="Calibri"/>
        <family val="2"/>
        <scheme val="minor"/>
      </rPr>
      <t xml:space="preserve"> anklicken), wenn unter 25 Jahre und in Ausbildung </t>
    </r>
  </si>
  <si>
    <t>Überprüfung, ob mit Kinderzuschlag die Hilfebedürftigkeit überwunden wird (hierbei wird bei Eltern und Kinder das Ø-Einkommen der letzten 6 Monate berücksichtigt und das aktuelle Wohngeld, das aktuelle Kindergeld und ein möglicher Kinderzuschlag)</t>
  </si>
  <si>
    <t>Ist die Hilfebedürftigkeit im Antragsmonat (nach Juli 2022) tatsächlich überwunden?</t>
  </si>
  <si>
    <t>abzgl. Versicherungsp. soweit nicht beim Erwerbsek. (automatisiert)</t>
  </si>
  <si>
    <t>Eingabe nur in grüne Felder möglich!</t>
  </si>
  <si>
    <t>sonstiges Einkommen</t>
  </si>
  <si>
    <t>bis 06/2023</t>
  </si>
  <si>
    <t>zu übertragendes Eink. (vertikal)</t>
  </si>
  <si>
    <r>
      <t xml:space="preserve">Den Geburtstag rechts  so eingeben: z.B. 13. März Eingabe = </t>
    </r>
    <r>
      <rPr>
        <b/>
        <sz val="11"/>
        <color theme="1"/>
        <rFont val="Calibri"/>
        <family val="2"/>
        <scheme val="minor"/>
      </rPr>
      <t>13</t>
    </r>
  </si>
  <si>
    <r>
      <t xml:space="preserve">Ergebnis muss als </t>
    </r>
    <r>
      <rPr>
        <b/>
        <u/>
        <sz val="11"/>
        <color theme="1"/>
        <rFont val="Calibri"/>
        <family val="2"/>
        <scheme val="minor"/>
      </rPr>
      <t>negativer Wert beim Mehrbedarf in der SGB II-Tabelle (wie nebenstehend)</t>
    </r>
    <r>
      <rPr>
        <b/>
        <sz val="11"/>
        <color theme="1"/>
        <rFont val="Calibri"/>
        <family val="2"/>
        <scheme val="minor"/>
      </rPr>
      <t xml:space="preserve"> eingetragen werden</t>
    </r>
  </si>
  <si>
    <t>Untenstehend Umwandlung von "bis 06/2023" in eine Zahl, damit S-Verweis funktioniert</t>
  </si>
  <si>
    <t>2023</t>
  </si>
  <si>
    <t>Liste Regelbedarf 2024</t>
  </si>
  <si>
    <t>Ausgewählter Grundabstzungsbetrag</t>
  </si>
  <si>
    <t>Grunabsetzungsbetrag</t>
  </si>
  <si>
    <t>Kindereinkommen und Kinder unter 18</t>
  </si>
  <si>
    <t>Klimakomponente Höchstbetrag</t>
  </si>
  <si>
    <r>
      <t xml:space="preserve">Berechnung des Wohngeldes nach § 19 WoGG und den Anlagen 2 und 3 des WoGG  für das </t>
    </r>
    <r>
      <rPr>
        <b/>
        <u/>
        <sz val="14"/>
        <color rgb="FF800000"/>
        <rFont val="Calibri"/>
        <family val="2"/>
        <scheme val="minor"/>
      </rPr>
      <t>Jahr 2025</t>
    </r>
  </si>
  <si>
    <r>
      <t xml:space="preserve">Berechnung des Wohngeldes nach § 19 WoGG und den Anlagen 2 und 3 des WoGG </t>
    </r>
    <r>
      <rPr>
        <b/>
        <u/>
        <sz val="14"/>
        <color theme="1"/>
        <rFont val="Calibri"/>
        <family val="2"/>
        <scheme val="minor"/>
      </rPr>
      <t>nur</t>
    </r>
    <r>
      <rPr>
        <b/>
        <sz val="14"/>
        <color theme="1"/>
        <rFont val="Calibri"/>
        <family val="2"/>
        <scheme val="minor"/>
      </rPr>
      <t xml:space="preserve"> für die</t>
    </r>
    <r>
      <rPr>
        <b/>
        <u/>
        <sz val="14"/>
        <color rgb="FF800000"/>
        <rFont val="Calibri"/>
        <family val="2"/>
        <scheme val="minor"/>
      </rPr>
      <t xml:space="preserve"> Jahre 2023/2024</t>
    </r>
  </si>
  <si>
    <t>Höhe des Sofortzuschlags</t>
  </si>
  <si>
    <t>Und ab 7/2023 oder 2024/2025</t>
  </si>
  <si>
    <t>Familie Maier</t>
  </si>
  <si>
    <t>SGB II Bedarf Kinder nach Berücksichtigung Ø-Eink. Kinder ohne Kindergeld § 6a Abs. 3 BKGG mit Kindersofortzuschlag</t>
  </si>
  <si>
    <t>SGB II Gesamtbedarf  nach Berücksichtigung Ø-Eink. Kinder ohne Berücksichtigung Kindergeld § 6a Abs. 3 BKGG</t>
  </si>
  <si>
    <t>Partner*in</t>
  </si>
  <si>
    <t>Verteilung des Elterneink.</t>
  </si>
  <si>
    <t>Anzahl monatli. Arbeitstage mind. 12 Std. nicht Zuhause und nicht bei Arbeitstätte ("Mehraufwendungen" § 6 Abs. 3 Bürgergeld-V)</t>
  </si>
  <si>
    <r>
      <rPr>
        <u/>
        <sz val="11"/>
        <color theme="1"/>
        <rFont val="Calibri"/>
        <family val="2"/>
        <scheme val="minor"/>
      </rPr>
      <t>mit KFZ,</t>
    </r>
    <r>
      <rPr>
        <sz val="11"/>
        <color theme="1"/>
        <rFont val="Calibri"/>
        <family val="2"/>
        <scheme val="minor"/>
      </rPr>
      <t xml:space="preserve"> dann Entfernungskilometer Arbeitsstätte (§ 6 Abs. 1 Nr.5 Bürgergeld-V)</t>
    </r>
  </si>
  <si>
    <t>KFZ-Haftpflicht (auf Monat gerechnet § 6 Abs. 1 Nr. 3 Bürgergeld-V)</t>
  </si>
  <si>
    <t>Mehraufwendungen § 6 Abs. 3 Bürgergeld-V</t>
  </si>
  <si>
    <t>weitere mögliche Absetzungen (Gewerkschaftsbeitrag, Arbeitskleidung, Umzug….)</t>
  </si>
  <si>
    <t>Tage der Anwesenheit:</t>
  </si>
  <si>
    <t>Kindergeld im Antragsmonat</t>
  </si>
  <si>
    <t>Liegt im Antragsmonat tatsächlich keine Hilfebedürftigkeit vor?</t>
  </si>
  <si>
    <t xml:space="preserve">Bei Kindergeld berücksichtige Versicherungspauschale </t>
  </si>
  <si>
    <t>summiert:</t>
  </si>
  <si>
    <t>Beim Kindergeld berücksichtigte Versicherungspauschale</t>
  </si>
  <si>
    <t>Hilfebedarf vor Anrechnung  Kinderzuschlags (rechnerisch)</t>
  </si>
  <si>
    <t>Regelbedarf Partner*innen</t>
  </si>
  <si>
    <t>RBS unter 6</t>
  </si>
  <si>
    <t>RBS unter 14</t>
  </si>
  <si>
    <t>RBS unter 18</t>
  </si>
  <si>
    <t>RBS unter 24</t>
  </si>
  <si>
    <t>Kalenderjahr 2024/25/26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</si>
</sst>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43" formatCode="_-* #,##0.00_-;\-* #,##0.00_-;_-* &quot;-&quot;??_-;_-@_-"/>
    <numFmt numFmtId="164" formatCode="_-* #,##0_-;\-* #,##0_-;_-* &quot;-&quot;??_-;_-@_-"/>
    <numFmt numFmtId="165" formatCode="#,##0.00\ &quot;€&quot;"/>
    <numFmt numFmtId="166" formatCode="_-* #,##0\ &quot;€&quot;_-;\-* #,##0\ &quot;€&quot;_-;_-* &quot;-&quot;??\ &quot;€&quot;_-;_-@_-"/>
    <numFmt numFmtId="167" formatCode="#,##0.00_ ;\-#,##0.00\ "/>
    <numFmt numFmtId="168" formatCode="0.0000000000"/>
    <numFmt numFmtId="169" formatCode="0.00000000"/>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b/>
      <sz val="12"/>
      <color theme="1"/>
      <name val="Calibri"/>
      <family val="2"/>
      <scheme val="minor"/>
    </font>
    <font>
      <sz val="11"/>
      <color theme="0"/>
      <name val="Calibri"/>
      <family val="2"/>
      <scheme val="minor"/>
    </font>
    <font>
      <sz val="8"/>
      <name val="Calibri"/>
      <family val="2"/>
      <scheme val="minor"/>
    </font>
    <font>
      <sz val="11"/>
      <color theme="1"/>
      <name val="Calibri"/>
      <family val="2"/>
    </font>
    <font>
      <b/>
      <sz val="11"/>
      <color theme="1"/>
      <name val="Calibri"/>
      <family val="2"/>
    </font>
    <font>
      <u/>
      <sz val="11"/>
      <color theme="1"/>
      <name val="Calibri"/>
      <family val="2"/>
      <scheme val="minor"/>
    </font>
    <font>
      <sz val="9"/>
      <color theme="1"/>
      <name val="Calibri"/>
      <family val="2"/>
      <scheme val="minor"/>
    </font>
    <font>
      <sz val="11"/>
      <color theme="0" tint="-0.249977111117893"/>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b/>
      <u/>
      <sz val="11"/>
      <color theme="1"/>
      <name val="Calibri"/>
      <family val="2"/>
      <scheme val="minor"/>
    </font>
    <font>
      <b/>
      <u/>
      <sz val="10"/>
      <color theme="1"/>
      <name val="Calibri"/>
      <family val="2"/>
      <scheme val="minor"/>
    </font>
    <font>
      <b/>
      <sz val="11"/>
      <color rgb="FF3F3F3F"/>
      <name val="Calibri"/>
      <family val="2"/>
      <scheme val="minor"/>
    </font>
    <font>
      <b/>
      <u/>
      <sz val="12"/>
      <color rgb="FF800000"/>
      <name val="Calibri"/>
      <family val="2"/>
      <scheme val="minor"/>
    </font>
    <font>
      <b/>
      <u/>
      <sz val="16"/>
      <color rgb="FF800000"/>
      <name val="Calibri"/>
      <family val="2"/>
      <scheme val="minor"/>
    </font>
    <font>
      <b/>
      <sz val="18"/>
      <color theme="1"/>
      <name val="Calibri"/>
      <family val="2"/>
      <scheme val="minor"/>
    </font>
    <font>
      <b/>
      <sz val="16"/>
      <color theme="1"/>
      <name val="Calibri"/>
      <family val="2"/>
      <scheme val="minor"/>
    </font>
    <font>
      <b/>
      <sz val="9"/>
      <color theme="1"/>
      <name val="Calibri"/>
      <family val="2"/>
      <scheme val="minor"/>
    </font>
    <font>
      <b/>
      <sz val="11"/>
      <color theme="0"/>
      <name val="Calibri"/>
      <family val="2"/>
      <scheme val="minor"/>
    </font>
    <font>
      <b/>
      <sz val="14"/>
      <color rgb="FF800000"/>
      <name val="Calibri"/>
      <family val="2"/>
      <scheme val="minor"/>
    </font>
    <font>
      <b/>
      <sz val="13"/>
      <color theme="1"/>
      <name val="Calibri"/>
      <family val="2"/>
      <scheme val="minor"/>
    </font>
    <font>
      <b/>
      <sz val="11"/>
      <color rgb="FFFF0000"/>
      <name val="Calibri"/>
      <family val="2"/>
      <scheme val="minor"/>
    </font>
    <font>
      <sz val="11"/>
      <color theme="2" tint="-0.749992370372631"/>
      <name val="Calibri"/>
      <family val="2"/>
      <scheme val="minor"/>
    </font>
    <font>
      <sz val="10"/>
      <color rgb="FF000000"/>
      <name val="Calibri"/>
      <family val="2"/>
      <scheme val="minor"/>
    </font>
    <font>
      <b/>
      <sz val="11"/>
      <color rgb="FF006600"/>
      <name val="Calibri"/>
      <family val="2"/>
      <scheme val="minor"/>
    </font>
    <font>
      <sz val="11"/>
      <color rgb="FF006600"/>
      <name val="Calibri"/>
      <family val="2"/>
      <scheme val="minor"/>
    </font>
    <font>
      <b/>
      <sz val="10"/>
      <color rgb="FF000000"/>
      <name val="Calibri"/>
      <family val="2"/>
      <scheme val="minor"/>
    </font>
    <font>
      <b/>
      <sz val="11"/>
      <color rgb="FF000000"/>
      <name val="Calibri"/>
      <family val="2"/>
      <scheme val="minor"/>
    </font>
    <font>
      <b/>
      <sz val="11"/>
      <color rgb="FF002060"/>
      <name val="Calibri"/>
      <family val="2"/>
      <scheme val="minor"/>
    </font>
    <font>
      <sz val="14"/>
      <color theme="1"/>
      <name val="Calibri"/>
      <family val="2"/>
      <scheme val="minor"/>
    </font>
    <font>
      <b/>
      <sz val="12"/>
      <color rgb="FF243917"/>
      <name val="Calibri"/>
      <family val="2"/>
      <scheme val="minor"/>
    </font>
    <font>
      <b/>
      <sz val="10"/>
      <name val="Calibri"/>
      <family val="2"/>
      <scheme val="minor"/>
    </font>
    <font>
      <sz val="10"/>
      <name val="Calibri"/>
      <family val="2"/>
      <scheme val="minor"/>
    </font>
    <font>
      <sz val="12"/>
      <color theme="1"/>
      <name val="Calibri"/>
      <family val="2"/>
      <scheme val="minor"/>
    </font>
    <font>
      <b/>
      <u/>
      <sz val="14"/>
      <color theme="1"/>
      <name val="Calibri"/>
      <family val="2"/>
      <scheme val="minor"/>
    </font>
    <font>
      <b/>
      <u val="singleAccounting"/>
      <sz val="18"/>
      <color theme="1"/>
      <name val="Calibri"/>
      <family val="2"/>
      <scheme val="minor"/>
    </font>
    <font>
      <sz val="9"/>
      <color indexed="81"/>
      <name val="Segoe UI"/>
      <family val="2"/>
    </font>
    <font>
      <b/>
      <sz val="9"/>
      <color indexed="81"/>
      <name val="Segoe UI"/>
      <family val="2"/>
    </font>
    <font>
      <sz val="11"/>
      <color theme="0" tint="-0.14999847407452621"/>
      <name val="Calibri"/>
      <family val="2"/>
      <scheme val="minor"/>
    </font>
    <font>
      <b/>
      <sz val="12"/>
      <color theme="0"/>
      <name val="Calibri"/>
      <family val="2"/>
      <scheme val="minor"/>
    </font>
    <font>
      <b/>
      <u/>
      <sz val="12"/>
      <color theme="0"/>
      <name val="Calibri"/>
      <family val="2"/>
      <scheme val="minor"/>
    </font>
    <font>
      <sz val="10"/>
      <color theme="0"/>
      <name val="Calibri"/>
      <family val="2"/>
      <scheme val="minor"/>
    </font>
    <font>
      <sz val="11"/>
      <color rgb="FF9C0006"/>
      <name val="Calibri"/>
      <family val="2"/>
      <scheme val="minor"/>
    </font>
    <font>
      <sz val="10"/>
      <color rgb="FFC00000"/>
      <name val="Calibri"/>
      <family val="2"/>
      <scheme val="minor"/>
    </font>
    <font>
      <sz val="9"/>
      <color rgb="FF800000"/>
      <name val="Arial"/>
      <family val="2"/>
    </font>
    <font>
      <sz val="9"/>
      <color rgb="FF943634"/>
      <name val="Arial"/>
      <family val="2"/>
    </font>
    <font>
      <b/>
      <sz val="12"/>
      <color rgb="FF800000"/>
      <name val="Calibri"/>
      <family val="2"/>
      <scheme val="minor"/>
    </font>
    <font>
      <b/>
      <sz val="11"/>
      <color rgb="FF800000"/>
      <name val="Calibri"/>
      <family val="2"/>
      <scheme val="minor"/>
    </font>
    <font>
      <b/>
      <sz val="11"/>
      <name val="Calibri"/>
      <family val="2"/>
      <scheme val="minor"/>
    </font>
    <font>
      <sz val="8"/>
      <color theme="1"/>
      <name val="Calibri"/>
      <family val="2"/>
      <scheme val="minor"/>
    </font>
    <font>
      <sz val="13"/>
      <color theme="1"/>
      <name val="Calibri"/>
      <family val="2"/>
      <scheme val="minor"/>
    </font>
    <font>
      <sz val="11"/>
      <color rgb="FFFF0000"/>
      <name val="Calibri"/>
      <family val="2"/>
      <scheme val="minor"/>
    </font>
    <font>
      <b/>
      <u/>
      <sz val="11"/>
      <color rgb="FFFF0000"/>
      <name val="Calibri"/>
      <family val="2"/>
      <scheme val="minor"/>
    </font>
    <font>
      <b/>
      <sz val="11"/>
      <color rgb="FFFF0000"/>
      <name val="Calibri"/>
      <family val="2"/>
    </font>
    <font>
      <b/>
      <u/>
      <sz val="11"/>
      <color rgb="FFFF0000"/>
      <name val="Calibri"/>
      <family val="2"/>
    </font>
    <font>
      <b/>
      <sz val="11"/>
      <color theme="0" tint="-0.14999847407452621"/>
      <name val="Calibri"/>
      <family val="2"/>
      <scheme val="minor"/>
    </font>
    <font>
      <sz val="11"/>
      <color theme="0" tint="-0.34998626667073579"/>
      <name val="Calibri"/>
      <family val="2"/>
      <scheme val="minor"/>
    </font>
    <font>
      <sz val="11"/>
      <name val="Calibri"/>
      <family val="2"/>
      <scheme val="minor"/>
    </font>
    <font>
      <sz val="8"/>
      <color rgb="FF000000"/>
      <name val="Segoe UI"/>
      <family val="2"/>
    </font>
    <font>
      <b/>
      <u/>
      <sz val="12"/>
      <color theme="9" tint="-0.499984740745262"/>
      <name val="Calibri"/>
      <family val="2"/>
      <scheme val="minor"/>
    </font>
    <font>
      <sz val="9"/>
      <color rgb="FF000000"/>
      <name val="Times New Roman"/>
      <family val="1"/>
    </font>
    <font>
      <b/>
      <u/>
      <sz val="14"/>
      <color rgb="FF800000"/>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2F2F2"/>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E2B0E2"/>
        <bgColor indexed="64"/>
      </patternFill>
    </fill>
    <fill>
      <patternFill patternType="solid">
        <fgColor rgb="FFDFC8C7"/>
        <bgColor indexed="64"/>
      </patternFill>
    </fill>
    <fill>
      <patternFill patternType="solid">
        <fgColor theme="5" tint="0.39997558519241921"/>
        <bgColor indexed="64"/>
      </patternFill>
    </fill>
    <fill>
      <patternFill patternType="solid">
        <fgColor indexed="9"/>
        <bgColor indexed="64"/>
      </patternFill>
    </fill>
    <fill>
      <patternFill patternType="solid">
        <fgColor rgb="FFFFC7CE"/>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theme="4" tint="-0.249977111117893"/>
      </bottom>
      <diagonal/>
    </border>
    <border>
      <left/>
      <right/>
      <top style="thin">
        <color theme="4" tint="-0.249977111117893"/>
      </top>
      <bottom style="thin">
        <color theme="4" tint="-0.249977111117893"/>
      </bottom>
      <diagonal/>
    </border>
    <border>
      <left/>
      <right/>
      <top style="thin">
        <color rgb="FF0070C0"/>
      </top>
      <bottom/>
      <diagonal/>
    </border>
    <border>
      <left/>
      <right/>
      <top/>
      <bottom style="thin">
        <color rgb="FF0070C0"/>
      </bottom>
      <diagonal/>
    </border>
    <border>
      <left/>
      <right/>
      <top/>
      <bottom style="thin">
        <color theme="4" tint="-0.499984740745262"/>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rgb="FFBBBBBB"/>
      </left>
      <right style="medium">
        <color rgb="FFBBBBBB"/>
      </right>
      <top/>
      <bottom style="medium">
        <color rgb="FFBBBBBB"/>
      </bottom>
      <diagonal/>
    </border>
    <border>
      <left style="medium">
        <color rgb="FFBBBBBB"/>
      </left>
      <right/>
      <top/>
      <bottom/>
      <diagonal/>
    </border>
    <border>
      <left style="medium">
        <color rgb="FFBBBBBB"/>
      </left>
      <right/>
      <top style="medium">
        <color rgb="FFBBBBBB"/>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rgb="FF000000"/>
      </right>
      <top/>
      <bottom style="medium">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7" fillId="9" borderId="11" applyNumberFormat="0" applyAlignment="0" applyProtection="0"/>
    <xf numFmtId="0" fontId="47" fillId="20" borderId="0" applyNumberFormat="0" applyBorder="0" applyAlignment="0" applyProtection="0"/>
  </cellStyleXfs>
  <cellXfs count="472">
    <xf numFmtId="0" fontId="0" fillId="0" borderId="0" xfId="0"/>
    <xf numFmtId="0" fontId="0" fillId="0" borderId="0" xfId="0" applyAlignment="1">
      <alignment wrapText="1"/>
    </xf>
    <xf numFmtId="44" fontId="0" fillId="0" borderId="0" xfId="1" applyFont="1"/>
    <xf numFmtId="44" fontId="0" fillId="0" borderId="0" xfId="0" applyNumberFormat="1"/>
    <xf numFmtId="0" fontId="0" fillId="0" borderId="0" xfId="0" applyAlignment="1">
      <alignment horizontal="center"/>
    </xf>
    <xf numFmtId="0" fontId="0" fillId="2" borderId="0" xfId="1" applyNumberFormat="1"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44" fontId="2" fillId="0" borderId="0" xfId="0" applyNumberFormat="1" applyFont="1"/>
    <xf numFmtId="0" fontId="0" fillId="2" borderId="0" xfId="0" applyFill="1"/>
    <xf numFmtId="44" fontId="0" fillId="2" borderId="0" xfId="1" applyFont="1" applyFill="1" applyProtection="1">
      <protection locked="0"/>
    </xf>
    <xf numFmtId="164" fontId="0" fillId="0" borderId="0" xfId="2" applyNumberFormat="1" applyFont="1"/>
    <xf numFmtId="0" fontId="2" fillId="2" borderId="0" xfId="2" applyNumberFormat="1" applyFont="1" applyFill="1"/>
    <xf numFmtId="0" fontId="0" fillId="0" borderId="0" xfId="0" applyAlignment="1">
      <alignment horizontal="right"/>
    </xf>
    <xf numFmtId="164" fontId="0" fillId="0" borderId="0" xfId="0" applyNumberFormat="1" applyAlignment="1">
      <alignment horizontal="right"/>
    </xf>
    <xf numFmtId="165" fontId="0" fillId="0" borderId="4" xfId="0" applyNumberFormat="1" applyBorder="1"/>
    <xf numFmtId="165" fontId="0" fillId="0" borderId="0" xfId="0" applyNumberFormat="1"/>
    <xf numFmtId="44" fontId="0" fillId="2" borderId="0" xfId="1" applyFont="1" applyFill="1"/>
    <xf numFmtId="44" fontId="3" fillId="0" borderId="0" xfId="1" applyFont="1"/>
    <xf numFmtId="44" fontId="3" fillId="0" borderId="0" xfId="0" applyNumberFormat="1" applyFont="1"/>
    <xf numFmtId="9" fontId="0" fillId="0" borderId="0" xfId="3" applyFont="1" applyAlignment="1">
      <alignment horizontal="center"/>
    </xf>
    <xf numFmtId="0" fontId="4" fillId="3" borderId="0" xfId="0" applyFont="1" applyFill="1" applyAlignment="1">
      <alignment wrapText="1"/>
    </xf>
    <xf numFmtId="44" fontId="4" fillId="3" borderId="0" xfId="0" applyNumberFormat="1" applyFont="1" applyFill="1"/>
    <xf numFmtId="0" fontId="2" fillId="3" borderId="0" xfId="0" applyFont="1" applyFill="1"/>
    <xf numFmtId="0" fontId="0" fillId="0" borderId="0" xfId="0" applyProtection="1">
      <protection locked="0"/>
    </xf>
    <xf numFmtId="44" fontId="0" fillId="4" borderId="0" xfId="1" applyFont="1" applyFill="1" applyProtection="1"/>
    <xf numFmtId="0" fontId="2" fillId="0" borderId="0" xfId="0" applyFont="1" applyAlignment="1">
      <alignment wrapText="1"/>
    </xf>
    <xf numFmtId="0" fontId="5" fillId="0" borderId="0" xfId="0" applyFont="1" applyAlignment="1">
      <alignment horizontal="center"/>
    </xf>
    <xf numFmtId="0" fontId="2" fillId="2" borderId="0" xfId="0" applyFont="1" applyFill="1" applyAlignment="1" applyProtection="1">
      <alignment horizontal="center" wrapText="1"/>
      <protection locked="0"/>
    </xf>
    <xf numFmtId="44" fontId="2" fillId="2" borderId="0" xfId="1" applyFont="1" applyFill="1" applyAlignment="1" applyProtection="1">
      <alignment horizontal="center"/>
      <protection locked="0"/>
    </xf>
    <xf numFmtId="44" fontId="0" fillId="0" borderId="0" xfId="1" applyFont="1" applyProtection="1"/>
    <xf numFmtId="44" fontId="0" fillId="0" borderId="0" xfId="1" applyFont="1" applyAlignment="1">
      <alignment wrapText="1"/>
    </xf>
    <xf numFmtId="44" fontId="0" fillId="0" borderId="4" xfId="1" applyFont="1" applyFill="1" applyBorder="1"/>
    <xf numFmtId="44" fontId="0" fillId="2" borderId="0" xfId="0" applyNumberFormat="1" applyFill="1" applyProtection="1">
      <protection locked="0"/>
    </xf>
    <xf numFmtId="0" fontId="7" fillId="0" borderId="0" xfId="0" applyFont="1" applyAlignment="1">
      <alignment wrapText="1"/>
    </xf>
    <xf numFmtId="0" fontId="8" fillId="0" borderId="0" xfId="0" applyFont="1" applyAlignment="1">
      <alignment wrapText="1"/>
    </xf>
    <xf numFmtId="44" fontId="5" fillId="0" borderId="0" xfId="0" applyNumberFormat="1" applyFont="1"/>
    <xf numFmtId="0" fontId="4" fillId="0" borderId="0" xfId="0" applyFont="1" applyAlignment="1">
      <alignment wrapText="1"/>
    </xf>
    <xf numFmtId="166" fontId="4" fillId="5" borderId="4" xfId="0" applyNumberFormat="1" applyFont="1" applyFill="1" applyBorder="1"/>
    <xf numFmtId="0" fontId="0" fillId="4" borderId="0" xfId="0" applyFill="1"/>
    <xf numFmtId="44" fontId="2" fillId="6" borderId="6" xfId="1" applyFont="1" applyFill="1" applyBorder="1"/>
    <xf numFmtId="0" fontId="2" fillId="6" borderId="6" xfId="0" applyFont="1" applyFill="1" applyBorder="1" applyAlignment="1">
      <alignment wrapText="1"/>
    </xf>
    <xf numFmtId="44" fontId="2" fillId="6" borderId="6" xfId="0" applyNumberFormat="1" applyFont="1" applyFill="1" applyBorder="1"/>
    <xf numFmtId="9" fontId="0" fillId="0" borderId="0" xfId="3" applyFont="1" applyAlignment="1">
      <alignment horizontal="right"/>
    </xf>
    <xf numFmtId="0" fontId="0" fillId="0" borderId="0" xfId="1" applyNumberFormat="1" applyFont="1"/>
    <xf numFmtId="2" fontId="0" fillId="0" borderId="0" xfId="0" applyNumberFormat="1"/>
    <xf numFmtId="0" fontId="8" fillId="6" borderId="9" xfId="0" applyFont="1" applyFill="1" applyBorder="1" applyAlignment="1">
      <alignment wrapText="1"/>
    </xf>
    <xf numFmtId="44" fontId="0" fillId="0" borderId="8" xfId="1" applyFont="1" applyBorder="1"/>
    <xf numFmtId="44" fontId="2" fillId="6" borderId="9" xfId="0" applyNumberFormat="1" applyFont="1" applyFill="1" applyBorder="1"/>
    <xf numFmtId="0" fontId="0" fillId="6" borderId="9" xfId="0" applyFill="1" applyBorder="1"/>
    <xf numFmtId="44" fontId="0" fillId="6" borderId="9" xfId="1" applyFont="1" applyFill="1" applyBorder="1"/>
    <xf numFmtId="0" fontId="10" fillId="2" borderId="0" xfId="0" applyFont="1" applyFill="1" applyAlignment="1">
      <alignment wrapText="1"/>
    </xf>
    <xf numFmtId="44" fontId="0" fillId="0" borderId="0" xfId="1" applyFont="1" applyAlignment="1" applyProtection="1">
      <alignment horizontal="center"/>
      <protection locked="0"/>
    </xf>
    <xf numFmtId="0" fontId="2" fillId="6" borderId="10" xfId="0" applyFont="1" applyFill="1" applyBorder="1" applyAlignment="1">
      <alignment wrapText="1"/>
    </xf>
    <xf numFmtId="44" fontId="2" fillId="6" borderId="10" xfId="0" applyNumberFormat="1" applyFont="1" applyFill="1" applyBorder="1"/>
    <xf numFmtId="0" fontId="11" fillId="0" borderId="0" xfId="0" applyFont="1"/>
    <xf numFmtId="0" fontId="11" fillId="0" borderId="0" xfId="0" applyFont="1" applyAlignment="1">
      <alignment horizontal="right"/>
    </xf>
    <xf numFmtId="0" fontId="12" fillId="0" borderId="0" xfId="0" applyFont="1" applyAlignment="1">
      <alignment wrapText="1"/>
    </xf>
    <xf numFmtId="44" fontId="13" fillId="3" borderId="0" xfId="0" applyNumberFormat="1" applyFont="1" applyFill="1"/>
    <xf numFmtId="0" fontId="2" fillId="0" borderId="0" xfId="0" applyFont="1"/>
    <xf numFmtId="44" fontId="0" fillId="4" borderId="0" xfId="0" applyNumberFormat="1" applyFill="1"/>
    <xf numFmtId="44" fontId="4" fillId="5" borderId="0" xfId="0" applyNumberFormat="1" applyFont="1" applyFill="1"/>
    <xf numFmtId="0" fontId="2" fillId="7" borderId="0" xfId="0" applyFont="1" applyFill="1"/>
    <xf numFmtId="0" fontId="0" fillId="0" borderId="0" xfId="0" applyAlignment="1">
      <alignment shrinkToFit="1"/>
    </xf>
    <xf numFmtId="44" fontId="2" fillId="5" borderId="6" xfId="0" applyNumberFormat="1" applyFont="1" applyFill="1" applyBorder="1"/>
    <xf numFmtId="44" fontId="2" fillId="7" borderId="6" xfId="1" applyFont="1" applyFill="1" applyBorder="1"/>
    <xf numFmtId="0" fontId="2" fillId="7" borderId="6" xfId="0" applyFont="1" applyFill="1" applyBorder="1" applyAlignment="1">
      <alignment wrapText="1"/>
    </xf>
    <xf numFmtId="0" fontId="2" fillId="7" borderId="6" xfId="0" applyFont="1" applyFill="1" applyBorder="1"/>
    <xf numFmtId="44" fontId="2" fillId="7" borderId="6" xfId="0" applyNumberFormat="1" applyFont="1" applyFill="1" applyBorder="1"/>
    <xf numFmtId="0" fontId="2" fillId="0" borderId="0" xfId="0" applyFont="1" applyAlignment="1">
      <alignment horizontal="right"/>
    </xf>
    <xf numFmtId="0" fontId="4" fillId="8" borderId="0" xfId="0" applyFont="1" applyFill="1" applyAlignment="1">
      <alignment wrapText="1"/>
    </xf>
    <xf numFmtId="44" fontId="4" fillId="8" borderId="0" xfId="0" applyNumberFormat="1" applyFont="1" applyFill="1"/>
    <xf numFmtId="44" fontId="4" fillId="8" borderId="6" xfId="0" applyNumberFormat="1" applyFont="1" applyFill="1" applyBorder="1"/>
    <xf numFmtId="0" fontId="2" fillId="5" borderId="7" xfId="0" applyFont="1" applyFill="1" applyBorder="1" applyAlignment="1">
      <alignment wrapText="1"/>
    </xf>
    <xf numFmtId="44" fontId="4" fillId="5" borderId="7" xfId="0" applyNumberFormat="1" applyFont="1" applyFill="1" applyBorder="1"/>
    <xf numFmtId="44" fontId="4" fillId="5" borderId="7" xfId="1" applyFont="1" applyFill="1" applyBorder="1"/>
    <xf numFmtId="0" fontId="2" fillId="5" borderId="6" xfId="0" applyFont="1" applyFill="1" applyBorder="1" applyAlignment="1">
      <alignment wrapText="1"/>
    </xf>
    <xf numFmtId="0" fontId="0" fillId="0" borderId="0" xfId="0" applyAlignment="1">
      <alignment horizontal="left"/>
    </xf>
    <xf numFmtId="0" fontId="0" fillId="0" borderId="5" xfId="0" applyBorder="1"/>
    <xf numFmtId="44" fontId="0" fillId="2" borderId="5" xfId="0" applyNumberFormat="1" applyFill="1" applyBorder="1" applyProtection="1">
      <protection locked="0"/>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44" fontId="2" fillId="0" borderId="0" xfId="1" applyFont="1"/>
    <xf numFmtId="0" fontId="0" fillId="2" borderId="5" xfId="0" applyFill="1" applyBorder="1" applyProtection="1">
      <protection locked="0"/>
    </xf>
    <xf numFmtId="0" fontId="0" fillId="0" borderId="0" xfId="0" applyAlignment="1">
      <alignment horizontal="left" wrapText="1"/>
    </xf>
    <xf numFmtId="9" fontId="0" fillId="0" borderId="0" xfId="3" applyFont="1"/>
    <xf numFmtId="0" fontId="14" fillId="0" borderId="0" xfId="0" applyFont="1" applyAlignment="1">
      <alignment wrapText="1"/>
    </xf>
    <xf numFmtId="0" fontId="5" fillId="0" borderId="0" xfId="0" applyFont="1"/>
    <xf numFmtId="0" fontId="14" fillId="0" borderId="0" xfId="0" applyFont="1" applyAlignment="1">
      <alignment horizontal="left"/>
    </xf>
    <xf numFmtId="0" fontId="2" fillId="0" borderId="0" xfId="0" applyFont="1" applyAlignment="1">
      <alignment horizontal="left"/>
    </xf>
    <xf numFmtId="17" fontId="2" fillId="2" borderId="0" xfId="0" applyNumberFormat="1" applyFont="1" applyFill="1" applyAlignment="1" applyProtection="1">
      <alignment horizontal="center"/>
      <protection locked="0"/>
    </xf>
    <xf numFmtId="0" fontId="2" fillId="2" borderId="0" xfId="0" applyFont="1" applyFill="1" applyAlignment="1" applyProtection="1">
      <alignment horizontal="left"/>
      <protection locked="0"/>
    </xf>
    <xf numFmtId="0" fontId="17" fillId="9" borderId="11" xfId="4"/>
    <xf numFmtId="0" fontId="2" fillId="0" borderId="0" xfId="0" applyFont="1" applyAlignment="1">
      <alignment horizontal="left" wrapText="1"/>
    </xf>
    <xf numFmtId="44" fontId="0" fillId="0" borderId="0" xfId="1" applyFont="1" applyAlignment="1"/>
    <xf numFmtId="0" fontId="10" fillId="0" borderId="0" xfId="0" applyFont="1" applyAlignment="1">
      <alignment wrapText="1"/>
    </xf>
    <xf numFmtId="44" fontId="2" fillId="4" borderId="0" xfId="1" applyFont="1" applyFill="1" applyAlignment="1"/>
    <xf numFmtId="44" fontId="0" fillId="4" borderId="0" xfId="1" applyFont="1" applyFill="1"/>
    <xf numFmtId="0" fontId="0" fillId="4" borderId="0" xfId="0" applyFill="1" applyAlignment="1">
      <alignment horizontal="right"/>
    </xf>
    <xf numFmtId="0" fontId="0" fillId="4" borderId="0" xfId="0" applyFill="1" applyAlignment="1">
      <alignment wrapText="1"/>
    </xf>
    <xf numFmtId="8" fontId="2" fillId="0" borderId="0" xfId="0" applyNumberFormat="1" applyFont="1"/>
    <xf numFmtId="17" fontId="2" fillId="4" borderId="0" xfId="0" applyNumberFormat="1" applyFont="1" applyFill="1" applyAlignment="1">
      <alignment horizontal="center"/>
    </xf>
    <xf numFmtId="0" fontId="0" fillId="6" borderId="4" xfId="0" applyFill="1" applyBorder="1" applyProtection="1">
      <protection locked="0"/>
    </xf>
    <xf numFmtId="44" fontId="0" fillId="6" borderId="4" xfId="1" applyFont="1" applyFill="1" applyBorder="1" applyProtection="1">
      <protection locked="0"/>
    </xf>
    <xf numFmtId="0" fontId="0" fillId="0" borderId="4" xfId="0" applyBorder="1" applyAlignment="1">
      <alignment horizontal="left"/>
    </xf>
    <xf numFmtId="0" fontId="4" fillId="2" borderId="0" xfId="0" applyFont="1" applyFill="1" applyAlignment="1" applyProtection="1">
      <alignment horizontal="center" wrapText="1"/>
      <protection locked="0"/>
    </xf>
    <xf numFmtId="0" fontId="14" fillId="2" borderId="0" xfId="0" applyFont="1" applyFill="1" applyAlignment="1" applyProtection="1">
      <alignment horizontal="center" wrapText="1"/>
      <protection locked="0"/>
    </xf>
    <xf numFmtId="0" fontId="18" fillId="2" borderId="0" xfId="0" applyFont="1" applyFill="1" applyAlignment="1" applyProtection="1">
      <alignment horizontal="center" wrapText="1"/>
      <protection locked="0"/>
    </xf>
    <xf numFmtId="0" fontId="0" fillId="6" borderId="0" xfId="0" applyFill="1"/>
    <xf numFmtId="0" fontId="0" fillId="5" borderId="0" xfId="0" applyFill="1"/>
    <xf numFmtId="44" fontId="0" fillId="5" borderId="0" xfId="1" applyFont="1" applyFill="1"/>
    <xf numFmtId="0" fontId="0" fillId="10" borderId="0" xfId="0" applyFill="1"/>
    <xf numFmtId="0" fontId="0" fillId="10" borderId="0" xfId="0" applyFill="1" applyAlignment="1">
      <alignment horizontal="right"/>
    </xf>
    <xf numFmtId="44" fontId="0" fillId="2" borderId="0" xfId="1" applyFont="1" applyFill="1" applyAlignment="1" applyProtection="1">
      <alignment wrapText="1"/>
      <protection locked="0"/>
    </xf>
    <xf numFmtId="0" fontId="0" fillId="2" borderId="0" xfId="0" applyFill="1" applyAlignment="1" applyProtection="1">
      <alignment wrapText="1"/>
      <protection locked="0"/>
    </xf>
    <xf numFmtId="0" fontId="2" fillId="7" borderId="0" xfId="0" applyFont="1" applyFill="1" applyAlignment="1">
      <alignment wrapText="1"/>
    </xf>
    <xf numFmtId="44" fontId="2" fillId="7" borderId="0" xfId="0" applyNumberFormat="1" applyFont="1" applyFill="1"/>
    <xf numFmtId="44" fontId="2" fillId="7" borderId="0" xfId="1" applyFont="1" applyFill="1"/>
    <xf numFmtId="0" fontId="0" fillId="5" borderId="7" xfId="0" applyFill="1" applyBorder="1" applyAlignment="1">
      <alignment wrapText="1"/>
    </xf>
    <xf numFmtId="0" fontId="0" fillId="5" borderId="7" xfId="0" applyFill="1" applyBorder="1"/>
    <xf numFmtId="44" fontId="2" fillId="5" borderId="7" xfId="0" applyNumberFormat="1" applyFont="1" applyFill="1" applyBorder="1"/>
    <xf numFmtId="44" fontId="2" fillId="5" borderId="7" xfId="1" applyFont="1" applyFill="1" applyBorder="1"/>
    <xf numFmtId="0" fontId="0" fillId="5" borderId="0" xfId="0" applyFill="1" applyAlignment="1">
      <alignment horizontal="right"/>
    </xf>
    <xf numFmtId="0" fontId="2" fillId="5" borderId="0" xfId="2" applyNumberFormat="1" applyFont="1" applyFill="1" applyBorder="1"/>
    <xf numFmtId="165" fontId="0" fillId="5" borderId="4" xfId="0" applyNumberFormat="1" applyFill="1" applyBorder="1"/>
    <xf numFmtId="0" fontId="2" fillId="11" borderId="0" xfId="0" applyFont="1" applyFill="1" applyAlignment="1">
      <alignment wrapText="1"/>
    </xf>
    <xf numFmtId="44" fontId="20" fillId="11" borderId="0" xfId="1" applyFont="1" applyFill="1"/>
    <xf numFmtId="0" fontId="2" fillId="2" borderId="0" xfId="0" applyFont="1" applyFill="1" applyProtection="1">
      <protection locked="0"/>
    </xf>
    <xf numFmtId="0" fontId="2" fillId="11" borderId="0" xfId="0" applyFont="1" applyFill="1"/>
    <xf numFmtId="8" fontId="0" fillId="0" borderId="0" xfId="1" applyNumberFormat="1" applyFont="1"/>
    <xf numFmtId="8" fontId="21" fillId="11" borderId="0" xfId="1" applyNumberFormat="1" applyFont="1" applyFill="1"/>
    <xf numFmtId="8" fontId="2" fillId="2" borderId="0" xfId="1" applyNumberFormat="1" applyFont="1" applyFill="1" applyProtection="1">
      <protection locked="0"/>
    </xf>
    <xf numFmtId="0" fontId="20" fillId="0" borderId="0" xfId="0" applyFont="1"/>
    <xf numFmtId="0" fontId="10" fillId="2" borderId="0" xfId="0" applyFont="1" applyFill="1" applyAlignment="1" applyProtection="1">
      <alignment wrapText="1"/>
      <protection locked="0"/>
    </xf>
    <xf numFmtId="44" fontId="2" fillId="2" borderId="2" xfId="1" applyFont="1" applyFill="1" applyBorder="1" applyProtection="1">
      <protection locked="0"/>
    </xf>
    <xf numFmtId="0" fontId="0" fillId="0" borderId="12" xfId="0" applyBorder="1" applyAlignment="1">
      <alignment wrapText="1"/>
    </xf>
    <xf numFmtId="0" fontId="0" fillId="0" borderId="2" xfId="0" applyBorder="1"/>
    <xf numFmtId="0" fontId="2" fillId="0" borderId="0" xfId="0" applyFont="1" applyAlignment="1">
      <alignment horizontal="center" wrapText="1"/>
    </xf>
    <xf numFmtId="0" fontId="13" fillId="2" borderId="12" xfId="0" applyFont="1" applyFill="1" applyBorder="1" applyProtection="1">
      <protection locked="0"/>
    </xf>
    <xf numFmtId="167" fontId="0" fillId="0" borderId="0" xfId="1" applyNumberFormat="1" applyFont="1"/>
    <xf numFmtId="0" fontId="22" fillId="2" borderId="0" xfId="0" applyFont="1" applyFill="1" applyAlignment="1" applyProtection="1">
      <alignment wrapText="1"/>
      <protection locked="0"/>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44" fontId="20" fillId="11" borderId="0" xfId="0" applyNumberFormat="1" applyFont="1" applyFill="1"/>
    <xf numFmtId="8" fontId="5" fillId="0" borderId="0" xfId="0" applyNumberFormat="1" applyFont="1"/>
    <xf numFmtId="44" fontId="2" fillId="0" borderId="0" xfId="1" applyFont="1" applyProtection="1"/>
    <xf numFmtId="0" fontId="2" fillId="0" borderId="0" xfId="0" applyFont="1" applyAlignment="1">
      <alignment horizontal="center"/>
    </xf>
    <xf numFmtId="0" fontId="23" fillId="0" borderId="0" xfId="0" applyFont="1" applyAlignment="1">
      <alignment wrapText="1"/>
    </xf>
    <xf numFmtId="0" fontId="13" fillId="0" borderId="0" xfId="0" applyFont="1" applyAlignment="1">
      <alignment wrapText="1"/>
    </xf>
    <xf numFmtId="0" fontId="25" fillId="0" borderId="0" xfId="0" applyFont="1" applyAlignment="1">
      <alignment wrapText="1"/>
    </xf>
    <xf numFmtId="0" fontId="25" fillId="0" borderId="0" xfId="0" applyFont="1"/>
    <xf numFmtId="44" fontId="25" fillId="0" borderId="0" xfId="1" applyFont="1"/>
    <xf numFmtId="0" fontId="25" fillId="0" borderId="0" xfId="0" applyFont="1" applyAlignment="1">
      <alignment horizontal="right"/>
    </xf>
    <xf numFmtId="0" fontId="25" fillId="12" borderId="0" xfId="0" applyFont="1" applyFill="1"/>
    <xf numFmtId="44" fontId="0" fillId="6" borderId="4" xfId="0" applyNumberFormat="1" applyFill="1" applyBorder="1" applyProtection="1">
      <protection locked="0"/>
    </xf>
    <xf numFmtId="0" fontId="5" fillId="0" borderId="0" xfId="0" applyFont="1" applyProtection="1">
      <protection locked="0"/>
    </xf>
    <xf numFmtId="9" fontId="0" fillId="0" borderId="0" xfId="3" applyFont="1" applyAlignment="1" applyProtection="1">
      <alignment horizontal="center"/>
    </xf>
    <xf numFmtId="44" fontId="1" fillId="0" borderId="0" xfId="1" applyFont="1" applyFill="1" applyProtection="1"/>
    <xf numFmtId="44" fontId="27" fillId="0" borderId="0" xfId="1" applyFont="1" applyAlignment="1">
      <alignment wrapText="1"/>
    </xf>
    <xf numFmtId="44" fontId="27" fillId="0" borderId="0" xfId="1" applyFont="1"/>
    <xf numFmtId="44" fontId="27" fillId="0" borderId="0" xfId="1" applyFont="1" applyFill="1"/>
    <xf numFmtId="44" fontId="0" fillId="0" borderId="0" xfId="1" applyFont="1" applyFill="1" applyProtection="1"/>
    <xf numFmtId="0" fontId="0" fillId="0" borderId="0" xfId="0" applyAlignment="1" applyProtection="1">
      <alignment horizontal="right"/>
      <protection locked="0"/>
    </xf>
    <xf numFmtId="2" fontId="0" fillId="6" borderId="4" xfId="0" applyNumberFormat="1" applyFill="1" applyBorder="1" applyProtection="1">
      <protection locked="0"/>
    </xf>
    <xf numFmtId="10" fontId="0" fillId="0" borderId="0" xfId="3" applyNumberFormat="1" applyFont="1"/>
    <xf numFmtId="0" fontId="13" fillId="0" borderId="0" xfId="0" applyFont="1"/>
    <xf numFmtId="11" fontId="13" fillId="0" borderId="0" xfId="0" applyNumberFormat="1" applyFont="1"/>
    <xf numFmtId="1" fontId="5" fillId="0" borderId="0" xfId="0" applyNumberFormat="1" applyFont="1" applyAlignment="1">
      <alignment horizontal="center"/>
    </xf>
    <xf numFmtId="0" fontId="28" fillId="13" borderId="4" xfId="0" applyFont="1" applyFill="1" applyBorder="1" applyAlignment="1">
      <alignment horizontal="center" vertical="top" wrapText="1"/>
    </xf>
    <xf numFmtId="44" fontId="28" fillId="13" borderId="3" xfId="1" applyFont="1" applyFill="1" applyBorder="1" applyAlignment="1">
      <alignment horizontal="center" vertical="top" wrapText="1"/>
    </xf>
    <xf numFmtId="11" fontId="0" fillId="0" borderId="0" xfId="0" applyNumberFormat="1"/>
    <xf numFmtId="11" fontId="0" fillId="0" borderId="0" xfId="0" applyNumberFormat="1" applyAlignment="1">
      <alignment horizontal="center"/>
    </xf>
    <xf numFmtId="1" fontId="0" fillId="0" borderId="0" xfId="0" applyNumberFormat="1" applyAlignment="1">
      <alignment horizontal="center"/>
    </xf>
    <xf numFmtId="0" fontId="28" fillId="13" borderId="13" xfId="0" applyFont="1" applyFill="1" applyBorder="1" applyAlignment="1">
      <alignment horizontal="center" vertical="top" wrapText="1"/>
    </xf>
    <xf numFmtId="0" fontId="28" fillId="13" borderId="14" xfId="0" applyFont="1" applyFill="1" applyBorder="1" applyAlignment="1">
      <alignment horizontal="center" vertical="top" wrapText="1"/>
    </xf>
    <xf numFmtId="0" fontId="28" fillId="13" borderId="15" xfId="0" applyFont="1" applyFill="1" applyBorder="1" applyAlignment="1">
      <alignment horizontal="center" vertical="top" wrapText="1"/>
    </xf>
    <xf numFmtId="3" fontId="28" fillId="13" borderId="15" xfId="0" applyNumberFormat="1" applyFont="1" applyFill="1" applyBorder="1" applyAlignment="1">
      <alignment horizontal="center" vertical="top" wrapText="1"/>
    </xf>
    <xf numFmtId="0" fontId="31" fillId="13" borderId="0" xfId="0" applyFont="1" applyFill="1" applyAlignment="1">
      <alignment horizontal="left" vertical="top" wrapText="1"/>
    </xf>
    <xf numFmtId="0" fontId="28" fillId="13" borderId="0" xfId="0" applyFont="1" applyFill="1" applyAlignment="1">
      <alignment horizontal="center" vertical="top" wrapText="1"/>
    </xf>
    <xf numFmtId="0" fontId="32" fillId="14" borderId="0" xfId="0" applyFont="1" applyFill="1" applyAlignment="1" applyProtection="1">
      <alignment horizontal="center" vertical="top" wrapText="1"/>
      <protection locked="0"/>
    </xf>
    <xf numFmtId="44" fontId="0" fillId="10" borderId="4" xfId="1" applyFont="1" applyFill="1" applyBorder="1" applyProtection="1">
      <protection locked="0"/>
    </xf>
    <xf numFmtId="0" fontId="28" fillId="13" borderId="0" xfId="0" applyFont="1" applyFill="1" applyAlignment="1">
      <alignment horizontal="left" vertical="top"/>
    </xf>
    <xf numFmtId="44" fontId="28" fillId="13" borderId="0" xfId="1" applyFont="1" applyFill="1" applyBorder="1" applyAlignment="1">
      <alignment horizontal="center" vertical="top" wrapText="1"/>
    </xf>
    <xf numFmtId="8" fontId="2" fillId="10" borderId="4" xfId="0" applyNumberFormat="1" applyFont="1" applyFill="1" applyBorder="1" applyProtection="1">
      <protection locked="0"/>
    </xf>
    <xf numFmtId="44" fontId="32" fillId="14" borderId="0" xfId="1" applyFont="1" applyFill="1" applyBorder="1" applyAlignment="1" applyProtection="1">
      <alignment horizontal="center" vertical="top" wrapText="1"/>
      <protection locked="0"/>
    </xf>
    <xf numFmtId="164" fontId="0" fillId="10" borderId="4" xfId="2" applyNumberFormat="1" applyFont="1" applyFill="1" applyBorder="1" applyProtection="1">
      <protection locked="0"/>
    </xf>
    <xf numFmtId="0" fontId="31" fillId="13" borderId="0" xfId="0" applyFont="1" applyFill="1" applyAlignment="1">
      <alignment horizontal="left" vertical="top"/>
    </xf>
    <xf numFmtId="44" fontId="2" fillId="0" borderId="0" xfId="1" applyFont="1" applyAlignment="1">
      <alignment horizontal="center"/>
    </xf>
    <xf numFmtId="44" fontId="32" fillId="12" borderId="0" xfId="1" applyFont="1" applyFill="1" applyBorder="1" applyAlignment="1" applyProtection="1">
      <alignment horizontal="center" vertical="top" wrapText="1"/>
    </xf>
    <xf numFmtId="0" fontId="0" fillId="10" borderId="4" xfId="0" applyFill="1" applyBorder="1" applyProtection="1">
      <protection locked="0"/>
    </xf>
    <xf numFmtId="44" fontId="0" fillId="10" borderId="4" xfId="0" applyNumberFormat="1" applyFill="1" applyBorder="1" applyProtection="1">
      <protection locked="0"/>
    </xf>
    <xf numFmtId="0" fontId="0" fillId="10" borderId="4" xfId="3" applyNumberFormat="1" applyFont="1" applyFill="1" applyBorder="1" applyProtection="1">
      <protection locked="0"/>
    </xf>
    <xf numFmtId="44" fontId="31" fillId="12" borderId="0" xfId="1" applyFont="1" applyFill="1" applyBorder="1" applyAlignment="1" applyProtection="1">
      <alignment horizontal="center" vertical="top" wrapText="1"/>
    </xf>
    <xf numFmtId="0" fontId="28" fillId="13" borderId="4" xfId="0" applyFont="1" applyFill="1" applyBorder="1" applyAlignment="1">
      <alignment vertical="top" wrapText="1"/>
    </xf>
    <xf numFmtId="168" fontId="0" fillId="0" borderId="0" xfId="0" applyNumberFormat="1"/>
    <xf numFmtId="0" fontId="34" fillId="0" borderId="0" xfId="0" applyFont="1"/>
    <xf numFmtId="8" fontId="2" fillId="10" borderId="4" xfId="1" applyNumberFormat="1" applyFont="1" applyFill="1" applyBorder="1" applyProtection="1">
      <protection locked="0"/>
    </xf>
    <xf numFmtId="44" fontId="2" fillId="10" borderId="4" xfId="1" applyFont="1" applyFill="1" applyBorder="1" applyProtection="1">
      <protection locked="0"/>
    </xf>
    <xf numFmtId="44" fontId="2" fillId="10" borderId="4" xfId="0" applyNumberFormat="1" applyFont="1" applyFill="1" applyBorder="1"/>
    <xf numFmtId="0" fontId="0" fillId="10" borderId="4" xfId="1" applyNumberFormat="1" applyFont="1" applyFill="1" applyBorder="1" applyProtection="1"/>
    <xf numFmtId="44" fontId="0" fillId="10" borderId="4" xfId="0" applyNumberFormat="1" applyFill="1" applyBorder="1"/>
    <xf numFmtId="0" fontId="37" fillId="19" borderId="4" xfId="0" applyFont="1" applyFill="1" applyBorder="1"/>
    <xf numFmtId="0" fontId="37" fillId="19" borderId="16" xfId="0" applyFont="1" applyFill="1" applyBorder="1"/>
    <xf numFmtId="0" fontId="37" fillId="19" borderId="3" xfId="0" applyFont="1" applyFill="1" applyBorder="1"/>
    <xf numFmtId="8" fontId="2" fillId="10" borderId="4" xfId="1" applyNumberFormat="1" applyFont="1" applyFill="1" applyBorder="1" applyProtection="1"/>
    <xf numFmtId="0" fontId="12" fillId="10" borderId="1" xfId="1" applyNumberFormat="1" applyFont="1" applyFill="1" applyBorder="1" applyAlignment="1" applyProtection="1"/>
    <xf numFmtId="0" fontId="12" fillId="10" borderId="3" xfId="1" applyNumberFormat="1" applyFont="1" applyFill="1" applyBorder="1" applyAlignment="1" applyProtection="1"/>
    <xf numFmtId="0" fontId="12" fillId="10" borderId="4" xfId="1" applyNumberFormat="1" applyFont="1" applyFill="1" applyBorder="1" applyProtection="1"/>
    <xf numFmtId="44" fontId="0" fillId="10" borderId="4" xfId="0" applyNumberFormat="1" applyFill="1" applyBorder="1" applyAlignment="1">
      <alignment shrinkToFit="1"/>
    </xf>
    <xf numFmtId="44" fontId="38" fillId="10" borderId="4" xfId="0" applyNumberFormat="1" applyFont="1" applyFill="1" applyBorder="1"/>
    <xf numFmtId="8" fontId="4" fillId="3" borderId="4" xfId="1" applyNumberFormat="1" applyFont="1" applyFill="1" applyBorder="1" applyProtection="1"/>
    <xf numFmtId="0" fontId="0" fillId="0" borderId="17" xfId="0" applyBorder="1"/>
    <xf numFmtId="44" fontId="40" fillId="12" borderId="0" xfId="1" applyFont="1" applyFill="1"/>
    <xf numFmtId="0" fontId="28" fillId="13" borderId="3" xfId="0" applyFont="1" applyFill="1" applyBorder="1" applyAlignment="1">
      <alignment horizontal="center" vertical="top" wrapText="1"/>
    </xf>
    <xf numFmtId="8" fontId="2" fillId="10" borderId="0" xfId="0" applyNumberFormat="1" applyFont="1" applyFill="1" applyProtection="1">
      <protection locked="0"/>
    </xf>
    <xf numFmtId="8" fontId="2" fillId="10" borderId="0" xfId="1" applyNumberFormat="1" applyFont="1" applyFill="1" applyBorder="1" applyProtection="1">
      <protection locked="0"/>
    </xf>
    <xf numFmtId="8" fontId="2" fillId="10" borderId="0" xfId="1" applyNumberFormat="1" applyFont="1" applyFill="1" applyBorder="1" applyProtection="1"/>
    <xf numFmtId="8" fontId="4" fillId="3" borderId="0" xfId="1" applyNumberFormat="1" applyFont="1" applyFill="1" applyBorder="1" applyProtection="1"/>
    <xf numFmtId="0" fontId="0" fillId="0" borderId="18" xfId="0" applyBorder="1"/>
    <xf numFmtId="9" fontId="0" fillId="10" borderId="0" xfId="3" applyFont="1" applyFill="1" applyBorder="1"/>
    <xf numFmtId="9" fontId="0" fillId="0" borderId="0" xfId="3" applyFont="1" applyBorder="1"/>
    <xf numFmtId="164" fontId="28" fillId="13" borderId="3" xfId="2" applyNumberFormat="1" applyFont="1" applyFill="1" applyBorder="1" applyAlignment="1">
      <alignment vertical="top" wrapText="1"/>
    </xf>
    <xf numFmtId="8" fontId="2" fillId="10" borderId="4" xfId="0" applyNumberFormat="1" applyFont="1" applyFill="1" applyBorder="1"/>
    <xf numFmtId="9" fontId="0" fillId="10" borderId="4" xfId="3" applyFont="1" applyFill="1" applyBorder="1" applyProtection="1">
      <protection locked="0"/>
    </xf>
    <xf numFmtId="44" fontId="0" fillId="10" borderId="4" xfId="1" applyFont="1" applyFill="1" applyBorder="1" applyProtection="1"/>
    <xf numFmtId="0" fontId="0" fillId="10" borderId="4" xfId="0" applyFill="1" applyBorder="1" applyAlignment="1">
      <alignment horizontal="center"/>
    </xf>
    <xf numFmtId="0" fontId="26" fillId="15" borderId="4" xfId="0" applyFont="1" applyFill="1" applyBorder="1" applyAlignment="1">
      <alignment horizontal="center"/>
    </xf>
    <xf numFmtId="0" fontId="33" fillId="16" borderId="4" xfId="0" applyFont="1" applyFill="1" applyBorder="1" applyAlignment="1">
      <alignment horizontal="center"/>
    </xf>
    <xf numFmtId="0" fontId="2" fillId="17" borderId="4" xfId="0" applyFont="1" applyFill="1" applyBorder="1" applyAlignment="1">
      <alignment horizontal="center"/>
    </xf>
    <xf numFmtId="0" fontId="0" fillId="10" borderId="4" xfId="0" applyFill="1" applyBorder="1"/>
    <xf numFmtId="0" fontId="12" fillId="10" borderId="4" xfId="0" applyFont="1" applyFill="1" applyBorder="1"/>
    <xf numFmtId="0" fontId="38" fillId="10" borderId="4" xfId="0" applyFont="1" applyFill="1" applyBorder="1"/>
    <xf numFmtId="169" fontId="0" fillId="0" borderId="0" xfId="0" applyNumberFormat="1"/>
    <xf numFmtId="169" fontId="13" fillId="0" borderId="0" xfId="0" applyNumberFormat="1" applyFont="1"/>
    <xf numFmtId="169" fontId="0" fillId="0" borderId="0" xfId="0" applyNumberFormat="1" applyAlignment="1">
      <alignment horizontal="center"/>
    </xf>
    <xf numFmtId="169" fontId="2" fillId="0" borderId="0" xfId="0" applyNumberFormat="1" applyFont="1"/>
    <xf numFmtId="169" fontId="34" fillId="0" borderId="0" xfId="0" applyNumberFormat="1" applyFont="1"/>
    <xf numFmtId="44" fontId="2" fillId="5" borderId="0" xfId="1" applyFont="1" applyFill="1"/>
    <xf numFmtId="0" fontId="37" fillId="5" borderId="4" xfId="0" applyFont="1" applyFill="1" applyBorder="1"/>
    <xf numFmtId="0" fontId="2" fillId="5" borderId="0" xfId="0" applyFont="1" applyFill="1"/>
    <xf numFmtId="0" fontId="36" fillId="5" borderId="5" xfId="0" applyFont="1" applyFill="1" applyBorder="1"/>
    <xf numFmtId="0" fontId="0" fillId="5" borderId="5" xfId="0" applyFill="1" applyBorder="1"/>
    <xf numFmtId="0" fontId="0" fillId="5" borderId="1" xfId="0" applyFill="1" applyBorder="1"/>
    <xf numFmtId="44" fontId="21" fillId="5" borderId="2" xfId="1" applyFont="1" applyFill="1" applyBorder="1"/>
    <xf numFmtId="0" fontId="0" fillId="5" borderId="2" xfId="0" applyFill="1" applyBorder="1"/>
    <xf numFmtId="0" fontId="0" fillId="5" borderId="3" xfId="0" applyFill="1" applyBorder="1"/>
    <xf numFmtId="0" fontId="0" fillId="5" borderId="17" xfId="0" applyFill="1" applyBorder="1"/>
    <xf numFmtId="44" fontId="0" fillId="0" borderId="0" xfId="0" applyNumberFormat="1" applyAlignment="1">
      <alignment horizontal="left"/>
    </xf>
    <xf numFmtId="0" fontId="43" fillId="0" borderId="0" xfId="0" applyFont="1"/>
    <xf numFmtId="44" fontId="43" fillId="0" borderId="0" xfId="1" applyFont="1"/>
    <xf numFmtId="0" fontId="4" fillId="3" borderId="0" xfId="0" applyFont="1" applyFill="1"/>
    <xf numFmtId="0" fontId="4" fillId="3" borderId="0" xfId="0" applyFont="1" applyFill="1" applyAlignment="1">
      <alignment horizontal="right"/>
    </xf>
    <xf numFmtId="0" fontId="0" fillId="6" borderId="0" xfId="0" applyFill="1" applyAlignment="1">
      <alignment horizontal="right"/>
    </xf>
    <xf numFmtId="0" fontId="0" fillId="4" borderId="0" xfId="0" applyFill="1" applyAlignment="1">
      <alignment horizontal="left" wrapText="1"/>
    </xf>
    <xf numFmtId="0" fontId="4" fillId="4" borderId="0" xfId="0" applyFont="1" applyFill="1"/>
    <xf numFmtId="0" fontId="5" fillId="4" borderId="0" xfId="0" applyFont="1" applyFill="1"/>
    <xf numFmtId="0" fontId="2" fillId="5" borderId="0" xfId="0" applyFont="1" applyFill="1" applyAlignment="1">
      <alignment horizontal="left" wrapText="1"/>
    </xf>
    <xf numFmtId="44" fontId="2" fillId="5" borderId="0" xfId="0" applyNumberFormat="1" applyFont="1" applyFill="1" applyAlignment="1">
      <alignment horizontal="left" wrapText="1"/>
    </xf>
    <xf numFmtId="0" fontId="0" fillId="5" borderId="0" xfId="0" applyFill="1" applyAlignment="1">
      <alignment wrapText="1"/>
    </xf>
    <xf numFmtId="44" fontId="0" fillId="5" borderId="0" xfId="0" applyNumberFormat="1" applyFill="1"/>
    <xf numFmtId="0" fontId="5" fillId="0" borderId="0" xfId="0" applyFont="1" applyAlignment="1">
      <alignment horizontal="right"/>
    </xf>
    <xf numFmtId="44" fontId="5" fillId="0" borderId="0" xfId="1" applyFont="1"/>
    <xf numFmtId="165" fontId="5" fillId="0" borderId="0" xfId="0" applyNumberFormat="1" applyFont="1"/>
    <xf numFmtId="0" fontId="23" fillId="4" borderId="0" xfId="0" applyFont="1" applyFill="1" applyAlignment="1">
      <alignment horizontal="left" wrapText="1"/>
    </xf>
    <xf numFmtId="0" fontId="23" fillId="4" borderId="0" xfId="0" applyFont="1" applyFill="1" applyAlignment="1">
      <alignment horizontal="center" wrapText="1"/>
    </xf>
    <xf numFmtId="44" fontId="5" fillId="4" borderId="0" xfId="1" applyFont="1" applyFill="1" applyProtection="1"/>
    <xf numFmtId="0" fontId="5" fillId="4" borderId="0" xfId="0" applyFont="1" applyFill="1" applyAlignment="1">
      <alignment horizontal="right"/>
    </xf>
    <xf numFmtId="44" fontId="5" fillId="4" borderId="0" xfId="1" applyFont="1" applyFill="1"/>
    <xf numFmtId="0" fontId="44" fillId="4" borderId="0" xfId="0" applyFont="1" applyFill="1" applyAlignment="1">
      <alignment horizontal="center" wrapText="1"/>
    </xf>
    <xf numFmtId="0" fontId="45" fillId="4" borderId="0" xfId="0" applyFont="1" applyFill="1" applyAlignment="1">
      <alignment horizontal="center" wrapText="1"/>
    </xf>
    <xf numFmtId="44" fontId="23" fillId="4" borderId="0" xfId="1" applyFont="1" applyFill="1" applyAlignment="1" applyProtection="1">
      <alignment horizontal="center"/>
    </xf>
    <xf numFmtId="0" fontId="5" fillId="4" borderId="0" xfId="0" applyFont="1" applyFill="1" applyAlignment="1">
      <alignment wrapText="1"/>
    </xf>
    <xf numFmtId="44" fontId="5" fillId="4" borderId="0" xfId="0" applyNumberFormat="1" applyFont="1" applyFill="1"/>
    <xf numFmtId="0" fontId="23" fillId="4" borderId="0" xfId="0" applyFont="1" applyFill="1"/>
    <xf numFmtId="0" fontId="46" fillId="4" borderId="0" xfId="0" applyFont="1" applyFill="1" applyAlignment="1">
      <alignment wrapText="1"/>
    </xf>
    <xf numFmtId="0" fontId="23" fillId="4" borderId="0" xfId="0" applyFont="1" applyFill="1" applyAlignment="1">
      <alignment horizontal="right"/>
    </xf>
    <xf numFmtId="44" fontId="23" fillId="4" borderId="0" xfId="1" applyFont="1" applyFill="1"/>
    <xf numFmtId="9" fontId="5" fillId="4" borderId="0" xfId="3" applyFont="1" applyFill="1" applyProtection="1"/>
    <xf numFmtId="0" fontId="44" fillId="4" borderId="0" xfId="0" applyFont="1" applyFill="1" applyAlignment="1">
      <alignment wrapText="1"/>
    </xf>
    <xf numFmtId="44" fontId="44" fillId="4" borderId="0" xfId="0" applyNumberFormat="1" applyFont="1" applyFill="1" applyAlignment="1">
      <alignment wrapText="1"/>
    </xf>
    <xf numFmtId="44" fontId="44" fillId="4" borderId="0" xfId="1" applyFont="1" applyFill="1" applyProtection="1"/>
    <xf numFmtId="0" fontId="47" fillId="20" borderId="0" xfId="5" applyAlignment="1">
      <alignment wrapText="1"/>
    </xf>
    <xf numFmtId="0" fontId="47" fillId="20" borderId="0" xfId="5"/>
    <xf numFmtId="44" fontId="47" fillId="20" borderId="0" xfId="5" applyNumberFormat="1"/>
    <xf numFmtId="0" fontId="47" fillId="20" borderId="0" xfId="5" applyAlignment="1">
      <alignment horizontal="right"/>
    </xf>
    <xf numFmtId="0" fontId="47" fillId="20" borderId="0" xfId="5" applyNumberFormat="1"/>
    <xf numFmtId="44" fontId="17" fillId="9" borderId="11" xfId="4" applyNumberFormat="1"/>
    <xf numFmtId="44" fontId="0" fillId="0" borderId="0" xfId="1" applyFont="1" applyProtection="1">
      <protection locked="0"/>
    </xf>
    <xf numFmtId="44" fontId="0" fillId="2" borderId="5" xfId="1" applyFont="1" applyFill="1" applyBorder="1" applyProtection="1">
      <protection locked="0"/>
    </xf>
    <xf numFmtId="0" fontId="2" fillId="11" borderId="0" xfId="0" applyFont="1" applyFill="1" applyAlignment="1">
      <alignment horizontal="center"/>
    </xf>
    <xf numFmtId="44" fontId="48" fillId="13" borderId="3" xfId="1" applyFont="1" applyFill="1" applyBorder="1" applyAlignment="1">
      <alignment horizontal="center" vertical="top" wrapText="1"/>
    </xf>
    <xf numFmtId="11" fontId="49" fillId="0" borderId="19" xfId="0" applyNumberFormat="1" applyFont="1" applyBorder="1" applyAlignment="1">
      <alignment horizontal="right" vertical="center" wrapText="1"/>
    </xf>
    <xf numFmtId="0" fontId="49" fillId="0" borderId="19" xfId="0" applyFont="1" applyBorder="1" applyAlignment="1">
      <alignment horizontal="right" vertical="center" wrapText="1"/>
    </xf>
    <xf numFmtId="11" fontId="50" fillId="0" borderId="19" xfId="0" applyNumberFormat="1" applyFont="1" applyBorder="1" applyAlignment="1">
      <alignment horizontal="right" vertical="center" wrapText="1"/>
    </xf>
    <xf numFmtId="0" fontId="51" fillId="3" borderId="0" xfId="0" applyFont="1" applyFill="1" applyAlignment="1">
      <alignment horizontal="left" wrapText="1"/>
    </xf>
    <xf numFmtId="44" fontId="51" fillId="3" borderId="0" xfId="0" applyNumberFormat="1" applyFont="1" applyFill="1"/>
    <xf numFmtId="44" fontId="51" fillId="3" borderId="0" xfId="1" applyFont="1" applyFill="1"/>
    <xf numFmtId="44" fontId="37" fillId="5" borderId="4" xfId="1" applyFont="1" applyFill="1" applyBorder="1"/>
    <xf numFmtId="44" fontId="37" fillId="19" borderId="3" xfId="1" applyFont="1" applyFill="1" applyBorder="1"/>
    <xf numFmtId="44" fontId="37" fillId="19" borderId="4" xfId="1" applyFont="1" applyFill="1" applyBorder="1"/>
    <xf numFmtId="44" fontId="0" fillId="0" borderId="4" xfId="1" applyFont="1" applyBorder="1"/>
    <xf numFmtId="0" fontId="5" fillId="0" borderId="0" xfId="0" applyFont="1" applyAlignment="1">
      <alignment wrapText="1"/>
    </xf>
    <xf numFmtId="44" fontId="2" fillId="11" borderId="0" xfId="0" applyNumberFormat="1" applyFont="1" applyFill="1" applyAlignment="1">
      <alignment horizontal="center"/>
    </xf>
    <xf numFmtId="0" fontId="52" fillId="3" borderId="0" xfId="0" applyFont="1" applyFill="1" applyAlignment="1">
      <alignment horizontal="left" wrapText="1"/>
    </xf>
    <xf numFmtId="44" fontId="24" fillId="3" borderId="0" xfId="0" applyNumberFormat="1" applyFont="1" applyFill="1"/>
    <xf numFmtId="0" fontId="14" fillId="11" borderId="0" xfId="0" applyFont="1" applyFill="1" applyAlignment="1">
      <alignment wrapText="1"/>
    </xf>
    <xf numFmtId="0" fontId="10" fillId="11" borderId="0" xfId="0" applyFont="1" applyFill="1" applyAlignment="1">
      <alignment wrapText="1"/>
    </xf>
    <xf numFmtId="0" fontId="53" fillId="0" borderId="0" xfId="0" applyFont="1" applyAlignment="1">
      <alignment wrapText="1"/>
    </xf>
    <xf numFmtId="44" fontId="0" fillId="0" borderId="0" xfId="0" applyNumberFormat="1" applyAlignment="1">
      <alignment wrapText="1"/>
    </xf>
    <xf numFmtId="0" fontId="0" fillId="0" borderId="2" xfId="0" applyBorder="1" applyProtection="1">
      <protection locked="0"/>
    </xf>
    <xf numFmtId="0" fontId="0" fillId="0" borderId="0" xfId="0" applyAlignment="1">
      <alignment horizontal="center" wrapText="1"/>
    </xf>
    <xf numFmtId="0" fontId="0" fillId="0" borderId="12" xfId="0" applyBorder="1" applyProtection="1">
      <protection locked="0"/>
    </xf>
    <xf numFmtId="44" fontId="0" fillId="0" borderId="12" xfId="1" applyFont="1" applyBorder="1" applyProtection="1">
      <protection locked="0"/>
    </xf>
    <xf numFmtId="0" fontId="0" fillId="0" borderId="20" xfId="0" applyBorder="1" applyProtection="1">
      <protection locked="0"/>
    </xf>
    <xf numFmtId="0" fontId="0" fillId="6" borderId="1" xfId="0" applyFill="1" applyBorder="1"/>
    <xf numFmtId="0" fontId="0" fillId="6" borderId="2" xfId="0" applyFill="1" applyBorder="1"/>
    <xf numFmtId="0" fontId="0" fillId="6" borderId="18" xfId="0" applyFill="1" applyBorder="1" applyAlignment="1" applyProtection="1">
      <alignment horizontal="center"/>
      <protection locked="0"/>
    </xf>
    <xf numFmtId="44" fontId="0" fillId="6" borderId="18" xfId="1" applyFont="1" applyFill="1" applyBorder="1" applyAlignment="1" applyProtection="1">
      <alignment horizontal="center"/>
      <protection locked="0"/>
    </xf>
    <xf numFmtId="0" fontId="0" fillId="6" borderId="18" xfId="0" applyFill="1" applyBorder="1" applyAlignment="1">
      <alignment horizontal="center"/>
    </xf>
    <xf numFmtId="0" fontId="0" fillId="6" borderId="18" xfId="0" applyFill="1" applyBorder="1"/>
    <xf numFmtId="0" fontId="0" fillId="6" borderId="21" xfId="0" applyFill="1" applyBorder="1" applyAlignment="1">
      <alignment horizontal="center"/>
    </xf>
    <xf numFmtId="0" fontId="0" fillId="6" borderId="22" xfId="0" applyFill="1" applyBorder="1"/>
    <xf numFmtId="44" fontId="0" fillId="6" borderId="12" xfId="1" applyFont="1" applyFill="1" applyBorder="1"/>
    <xf numFmtId="0" fontId="0" fillId="6" borderId="12" xfId="0" applyFill="1" applyBorder="1"/>
    <xf numFmtId="0" fontId="0" fillId="6" borderId="20" xfId="0" applyFill="1" applyBorder="1"/>
    <xf numFmtId="44" fontId="0" fillId="6" borderId="4" xfId="1" applyFont="1" applyFill="1" applyBorder="1"/>
    <xf numFmtId="0" fontId="0" fillId="6" borderId="4" xfId="0" applyFill="1" applyBorder="1" applyAlignment="1">
      <alignment horizontal="left"/>
    </xf>
    <xf numFmtId="165" fontId="0" fillId="6" borderId="4" xfId="0" applyNumberFormat="1" applyFill="1" applyBorder="1"/>
    <xf numFmtId="44" fontId="0" fillId="0" borderId="3" xfId="1" applyFont="1" applyFill="1" applyBorder="1"/>
    <xf numFmtId="165" fontId="0" fillId="0" borderId="3" xfId="0" applyNumberFormat="1" applyBorder="1"/>
    <xf numFmtId="0" fontId="0" fillId="6" borderId="5" xfId="0" applyFill="1" applyBorder="1"/>
    <xf numFmtId="44" fontId="0" fillId="6" borderId="0" xfId="1" applyFont="1" applyFill="1" applyBorder="1"/>
    <xf numFmtId="165" fontId="0" fillId="6" borderId="0" xfId="0" applyNumberFormat="1" applyFill="1"/>
    <xf numFmtId="165" fontId="0" fillId="6" borderId="17" xfId="0" applyNumberFormat="1" applyFill="1" applyBorder="1"/>
    <xf numFmtId="44" fontId="0" fillId="6" borderId="0" xfId="0" applyNumberFormat="1" applyFill="1"/>
    <xf numFmtId="44" fontId="0" fillId="6" borderId="17" xfId="0" applyNumberFormat="1" applyFill="1" applyBorder="1"/>
    <xf numFmtId="44" fontId="0" fillId="6" borderId="5" xfId="0" applyNumberFormat="1" applyFill="1" applyBorder="1"/>
    <xf numFmtId="44" fontId="0" fillId="6" borderId="17" xfId="1" applyFont="1" applyFill="1" applyBorder="1"/>
    <xf numFmtId="0" fontId="0" fillId="6" borderId="17" xfId="0" applyFill="1" applyBorder="1"/>
    <xf numFmtId="165" fontId="0" fillId="6" borderId="12" xfId="0" applyNumberFormat="1" applyFill="1" applyBorder="1"/>
    <xf numFmtId="165" fontId="0" fillId="6" borderId="20" xfId="0" applyNumberFormat="1" applyFill="1" applyBorder="1"/>
    <xf numFmtId="0" fontId="0" fillId="0" borderId="5" xfId="0" applyBorder="1" applyProtection="1">
      <protection locked="0"/>
    </xf>
    <xf numFmtId="0" fontId="0" fillId="0" borderId="17" xfId="0" applyBorder="1" applyProtection="1">
      <protection locked="0"/>
    </xf>
    <xf numFmtId="0" fontId="0" fillId="0" borderId="22" xfId="0" applyBorder="1" applyProtection="1">
      <protection locked="0"/>
    </xf>
    <xf numFmtId="0" fontId="55" fillId="0" borderId="0" xfId="0" applyFont="1"/>
    <xf numFmtId="0" fontId="34" fillId="0" borderId="0" xfId="0" applyFont="1" applyAlignment="1">
      <alignment horizontal="left" wrapText="1"/>
    </xf>
    <xf numFmtId="0" fontId="0" fillId="7" borderId="0" xfId="0" applyFill="1"/>
    <xf numFmtId="44" fontId="0" fillId="7" borderId="0" xfId="1" applyFont="1" applyFill="1"/>
    <xf numFmtId="0" fontId="8" fillId="7" borderId="0" xfId="0" applyFont="1" applyFill="1" applyAlignment="1">
      <alignment wrapText="1"/>
    </xf>
    <xf numFmtId="44" fontId="4" fillId="11" borderId="24" xfId="1" applyFont="1" applyFill="1" applyBorder="1"/>
    <xf numFmtId="0" fontId="13" fillId="11" borderId="25" xfId="0" applyFont="1" applyFill="1" applyBorder="1" applyAlignment="1">
      <alignment wrapText="1"/>
    </xf>
    <xf numFmtId="0" fontId="2" fillId="7" borderId="0" xfId="0" applyFont="1" applyFill="1" applyAlignment="1" applyProtection="1">
      <alignment horizontal="center"/>
      <protection locked="0"/>
    </xf>
    <xf numFmtId="44" fontId="0" fillId="7" borderId="0" xfId="0" applyNumberFormat="1" applyFill="1"/>
    <xf numFmtId="0" fontId="0" fillId="0" borderId="0" xfId="0" applyAlignment="1" applyProtection="1">
      <alignment horizontal="center" wrapText="1"/>
      <protection locked="0"/>
    </xf>
    <xf numFmtId="44" fontId="0" fillId="0" borderId="0" xfId="1" applyFont="1" applyAlignment="1">
      <alignment horizontal="justify" vertical="center"/>
    </xf>
    <xf numFmtId="0" fontId="0" fillId="6" borderId="0" xfId="0" applyFill="1" applyProtection="1">
      <protection locked="0"/>
    </xf>
    <xf numFmtId="44" fontId="0" fillId="6" borderId="0" xfId="1" applyFont="1" applyFill="1" applyBorder="1" applyProtection="1">
      <protection locked="0"/>
    </xf>
    <xf numFmtId="44" fontId="11" fillId="0" borderId="0" xfId="1" applyFont="1"/>
    <xf numFmtId="44" fontId="0" fillId="0" borderId="0" xfId="0" applyNumberFormat="1" applyAlignment="1">
      <alignment vertical="center"/>
    </xf>
    <xf numFmtId="44" fontId="43" fillId="0" borderId="0" xfId="0" applyNumberFormat="1" applyFont="1"/>
    <xf numFmtId="44" fontId="60" fillId="0" borderId="0" xfId="0" applyNumberFormat="1" applyFont="1"/>
    <xf numFmtId="44" fontId="11" fillId="2" borderId="0" xfId="1" applyFont="1" applyFill="1" applyProtection="1">
      <protection locked="0"/>
    </xf>
    <xf numFmtId="0" fontId="61" fillId="0" borderId="0" xfId="0" applyFont="1"/>
    <xf numFmtId="0" fontId="62" fillId="0" borderId="0" xfId="0" applyFont="1" applyAlignment="1">
      <alignment wrapText="1"/>
    </xf>
    <xf numFmtId="44" fontId="62" fillId="2" borderId="0" xfId="1" applyFont="1" applyFill="1" applyProtection="1">
      <protection locked="0"/>
    </xf>
    <xf numFmtId="0" fontId="22" fillId="4" borderId="0" xfId="0" applyFont="1" applyFill="1" applyAlignment="1">
      <alignment wrapText="1"/>
    </xf>
    <xf numFmtId="0" fontId="64" fillId="0" borderId="0" xfId="0" applyFont="1" applyAlignment="1">
      <alignment wrapText="1"/>
    </xf>
    <xf numFmtId="0" fontId="5" fillId="2" borderId="0" xfId="0" applyFont="1" applyFill="1" applyAlignment="1">
      <alignment horizontal="center"/>
    </xf>
    <xf numFmtId="0" fontId="0" fillId="2" borderId="0" xfId="0" applyFill="1" applyAlignment="1">
      <alignment horizontal="center"/>
    </xf>
    <xf numFmtId="44" fontId="2" fillId="2" borderId="0" xfId="0" applyNumberFormat="1" applyFont="1" applyFill="1"/>
    <xf numFmtId="14" fontId="0" fillId="6" borderId="0" xfId="0" applyNumberFormat="1" applyFill="1" applyAlignment="1">
      <alignment horizontal="right"/>
    </xf>
    <xf numFmtId="44" fontId="0" fillId="0" borderId="0" xfId="0" applyNumberFormat="1" applyAlignment="1">
      <alignment horizontal="right"/>
    </xf>
    <xf numFmtId="49" fontId="0" fillId="0" borderId="0" xfId="0" applyNumberFormat="1"/>
    <xf numFmtId="49" fontId="24" fillId="11" borderId="0" xfId="0" applyNumberFormat="1" applyFont="1" applyFill="1"/>
    <xf numFmtId="0" fontId="19" fillId="2" borderId="0" xfId="0" applyFont="1" applyFill="1" applyAlignment="1" applyProtection="1">
      <alignment horizontal="center" wrapText="1"/>
      <protection locked="0"/>
    </xf>
    <xf numFmtId="0" fontId="0" fillId="0" borderId="0" xfId="0" applyAlignment="1">
      <alignment vertical="center"/>
    </xf>
    <xf numFmtId="0" fontId="65" fillId="0" borderId="26"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28" xfId="0" applyFont="1" applyBorder="1" applyAlignment="1">
      <alignment horizontal="center" vertical="center" wrapText="1"/>
    </xf>
    <xf numFmtId="0" fontId="65" fillId="0" borderId="19" xfId="0" applyFont="1" applyBorder="1" applyAlignment="1">
      <alignment horizontal="center" vertical="center" wrapText="1"/>
    </xf>
    <xf numFmtId="11" fontId="65" fillId="0" borderId="26" xfId="0" applyNumberFormat="1" applyFont="1" applyBorder="1" applyAlignment="1">
      <alignment horizontal="right" vertical="center" wrapText="1"/>
    </xf>
    <xf numFmtId="11" fontId="65" fillId="0" borderId="27" xfId="0" applyNumberFormat="1" applyFont="1" applyBorder="1" applyAlignment="1">
      <alignment horizontal="right" vertical="center" wrapText="1"/>
    </xf>
    <xf numFmtId="0" fontId="65" fillId="0" borderId="27" xfId="0" applyFont="1" applyBorder="1" applyAlignment="1">
      <alignment horizontal="right" vertical="center" wrapText="1"/>
    </xf>
    <xf numFmtId="11" fontId="65" fillId="0" borderId="28" xfId="0" applyNumberFormat="1" applyFont="1" applyBorder="1" applyAlignment="1">
      <alignment horizontal="right" vertical="center" wrapText="1"/>
    </xf>
    <xf numFmtId="11" fontId="65" fillId="0" borderId="19" xfId="0" applyNumberFormat="1" applyFont="1" applyBorder="1" applyAlignment="1">
      <alignment horizontal="right" vertical="center" wrapText="1"/>
    </xf>
    <xf numFmtId="44" fontId="2" fillId="0" borderId="2" xfId="1" applyFont="1" applyFill="1" applyBorder="1" applyProtection="1"/>
    <xf numFmtId="0" fontId="2" fillId="2" borderId="5" xfId="0" applyFont="1" applyFill="1" applyBorder="1" applyAlignment="1" applyProtection="1">
      <alignment horizontal="right"/>
      <protection locked="0"/>
    </xf>
    <xf numFmtId="44" fontId="34" fillId="0" borderId="0" xfId="0" applyNumberFormat="1" applyFont="1" applyProtection="1">
      <protection locked="0"/>
    </xf>
    <xf numFmtId="0" fontId="2" fillId="4" borderId="0" xfId="0" applyFont="1" applyFill="1"/>
    <xf numFmtId="0" fontId="0" fillId="6" borderId="4" xfId="0" applyFill="1" applyBorder="1" applyAlignment="1" applyProtection="1">
      <alignment horizontal="center"/>
      <protection locked="0"/>
    </xf>
    <xf numFmtId="0" fontId="13" fillId="5" borderId="0" xfId="0" applyFont="1" applyFill="1" applyAlignment="1">
      <alignment horizontal="left" wrapText="1"/>
    </xf>
    <xf numFmtId="0" fontId="12" fillId="6" borderId="1" xfId="0" applyFont="1" applyFill="1" applyBorder="1" applyAlignment="1">
      <alignment horizontal="left" wrapText="1"/>
    </xf>
    <xf numFmtId="0" fontId="12" fillId="6" borderId="2" xfId="0" applyFont="1" applyFill="1" applyBorder="1" applyAlignment="1">
      <alignment horizontal="left" wrapText="1"/>
    </xf>
    <xf numFmtId="0" fontId="12" fillId="6" borderId="3" xfId="0" applyFont="1" applyFill="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0" fillId="0" borderId="8" xfId="0" applyBorder="1" applyAlignment="1">
      <alignment horizontal="left" wrapText="1"/>
    </xf>
    <xf numFmtId="0" fontId="0" fillId="0" borderId="0" xfId="0" applyAlignment="1">
      <alignment horizontal="left" wrapText="1"/>
    </xf>
    <xf numFmtId="0" fontId="34" fillId="0" borderId="0" xfId="0" applyFont="1" applyAlignment="1">
      <alignment horizontal="left" wrapText="1"/>
    </xf>
    <xf numFmtId="0" fontId="56" fillId="0" borderId="4" xfId="0" applyFont="1" applyBorder="1" applyAlignment="1">
      <alignment horizontal="left"/>
    </xf>
    <xf numFmtId="0" fontId="56" fillId="0" borderId="18" xfId="0" applyFont="1" applyBorder="1" applyAlignment="1">
      <alignment horizontal="left"/>
    </xf>
    <xf numFmtId="0" fontId="56" fillId="0" borderId="18" xfId="0" applyFont="1" applyBorder="1" applyAlignment="1">
      <alignment horizontal="center"/>
    </xf>
    <xf numFmtId="0" fontId="56" fillId="0" borderId="12" xfId="0" applyFont="1" applyBorder="1" applyAlignment="1">
      <alignment horizontal="left"/>
    </xf>
    <xf numFmtId="44" fontId="56" fillId="0" borderId="1" xfId="1" applyFont="1" applyBorder="1" applyAlignment="1">
      <alignment horizontal="left"/>
    </xf>
    <xf numFmtId="44" fontId="56" fillId="0" borderId="2" xfId="1" applyFont="1" applyBorder="1" applyAlignment="1">
      <alignment horizontal="left"/>
    </xf>
    <xf numFmtId="44" fontId="56" fillId="0" borderId="3" xfId="1" applyFont="1" applyBorder="1" applyAlignment="1">
      <alignment horizontal="left"/>
    </xf>
    <xf numFmtId="0" fontId="44" fillId="4" borderId="0" xfId="0" applyFont="1" applyFill="1" applyAlignment="1">
      <alignment horizontal="left" wrapText="1"/>
    </xf>
    <xf numFmtId="0" fontId="23" fillId="4" borderId="0" xfId="0" applyFont="1" applyFill="1" applyAlignment="1">
      <alignment horizontal="left" wrapText="1"/>
    </xf>
    <xf numFmtId="0" fontId="2" fillId="0" borderId="0" xfId="0" applyFont="1" applyAlignment="1">
      <alignment horizontal="left" vertical="center"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 fillId="7" borderId="0" xfId="0" applyFont="1" applyFill="1" applyAlignment="1">
      <alignment horizontal="left"/>
    </xf>
    <xf numFmtId="0" fontId="0" fillId="0" borderId="0" xfId="0" applyAlignment="1">
      <alignment horizontal="center"/>
    </xf>
    <xf numFmtId="0" fontId="54" fillId="0" borderId="0" xfId="0" applyFont="1" applyAlignment="1">
      <alignment horizontal="center"/>
    </xf>
    <xf numFmtId="0" fontId="0" fillId="0" borderId="23"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2" fillId="7" borderId="0" xfId="0" applyFont="1" applyFill="1" applyAlignment="1">
      <alignment horizontal="left" wrapText="1"/>
    </xf>
    <xf numFmtId="0" fontId="0" fillId="7" borderId="0" xfId="0" applyFill="1" applyAlignment="1">
      <alignment horizontal="left" wrapText="1"/>
    </xf>
    <xf numFmtId="44" fontId="0" fillId="0" borderId="1" xfId="1" applyFont="1" applyBorder="1" applyAlignment="1">
      <alignment horizontal="left"/>
    </xf>
    <xf numFmtId="44" fontId="0" fillId="0" borderId="2" xfId="1" applyFont="1" applyBorder="1" applyAlignment="1">
      <alignment horizontal="left"/>
    </xf>
    <xf numFmtId="44" fontId="0" fillId="0" borderId="3" xfId="1" applyFont="1" applyBorder="1" applyAlignment="1">
      <alignment horizontal="left"/>
    </xf>
    <xf numFmtId="0" fontId="0" fillId="0" borderId="18" xfId="0" applyBorder="1" applyAlignment="1">
      <alignment horizontal="center"/>
    </xf>
    <xf numFmtId="0" fontId="0" fillId="0" borderId="12" xfId="0" applyBorder="1" applyAlignment="1">
      <alignment horizontal="left"/>
    </xf>
    <xf numFmtId="44" fontId="60" fillId="0" borderId="0" xfId="1" applyFont="1" applyAlignment="1">
      <alignment horizontal="center"/>
    </xf>
    <xf numFmtId="44" fontId="43" fillId="0" borderId="0" xfId="1" applyFont="1" applyAlignment="1">
      <alignment horizontal="center"/>
    </xf>
    <xf numFmtId="0" fontId="0" fillId="6" borderId="4" xfId="0" applyFill="1" applyBorder="1" applyAlignment="1">
      <alignment horizontal="center"/>
    </xf>
    <xf numFmtId="0" fontId="0" fillId="6" borderId="18" xfId="0" applyFill="1" applyBorder="1" applyAlignment="1">
      <alignment horizontal="center"/>
    </xf>
    <xf numFmtId="44" fontId="0" fillId="6" borderId="1" xfId="1" applyFont="1" applyFill="1" applyBorder="1" applyAlignment="1">
      <alignment horizontal="left"/>
    </xf>
    <xf numFmtId="44" fontId="0" fillId="6" borderId="2" xfId="1" applyFont="1" applyFill="1" applyBorder="1" applyAlignment="1">
      <alignment horizontal="left"/>
    </xf>
    <xf numFmtId="44" fontId="0" fillId="6" borderId="3" xfId="1" applyFont="1" applyFill="1" applyBorder="1" applyAlignment="1">
      <alignment horizontal="left"/>
    </xf>
    <xf numFmtId="0" fontId="0" fillId="0" borderId="1" xfId="0" applyBorder="1" applyAlignment="1">
      <alignment horizontal="right"/>
    </xf>
    <xf numFmtId="0" fontId="0" fillId="0" borderId="2" xfId="0" applyBorder="1" applyAlignment="1">
      <alignment horizontal="right"/>
    </xf>
    <xf numFmtId="0" fontId="0" fillId="0" borderId="0" xfId="0" applyAlignment="1">
      <alignment horizontal="left"/>
    </xf>
    <xf numFmtId="0" fontId="0" fillId="6" borderId="4" xfId="0" applyFill="1" applyBorder="1" applyAlignment="1">
      <alignment horizontal="left"/>
    </xf>
    <xf numFmtId="0" fontId="0" fillId="6" borderId="22" xfId="0" applyFill="1" applyBorder="1" applyAlignment="1">
      <alignment horizontal="center"/>
    </xf>
    <xf numFmtId="0" fontId="0" fillId="6" borderId="12" xfId="0" applyFill="1" applyBorder="1" applyAlignment="1">
      <alignment horizontal="center"/>
    </xf>
    <xf numFmtId="0" fontId="4" fillId="7" borderId="0" xfId="0" applyFont="1" applyFill="1" applyAlignment="1">
      <alignment horizontal="left"/>
    </xf>
    <xf numFmtId="0" fontId="4" fillId="7" borderId="0" xfId="0" applyFont="1" applyFill="1" applyAlignment="1">
      <alignment horizontal="left" wrapText="1"/>
    </xf>
    <xf numFmtId="0" fontId="2" fillId="6" borderId="0" xfId="0" applyFont="1" applyFill="1"/>
    <xf numFmtId="0" fontId="2" fillId="17" borderId="4" xfId="0" applyFont="1" applyFill="1" applyBorder="1" applyAlignment="1">
      <alignment horizontal="center" wrapText="1"/>
    </xf>
    <xf numFmtId="0" fontId="12" fillId="10" borderId="1" xfId="1" applyNumberFormat="1" applyFont="1" applyFill="1" applyBorder="1" applyAlignment="1" applyProtection="1">
      <alignment horizontal="left"/>
    </xf>
    <xf numFmtId="0" fontId="12" fillId="10" borderId="2" xfId="1" applyNumberFormat="1" applyFont="1" applyFill="1" applyBorder="1" applyAlignment="1" applyProtection="1">
      <alignment horizontal="left"/>
    </xf>
    <xf numFmtId="0" fontId="12" fillId="10" borderId="3" xfId="1" applyNumberFormat="1" applyFont="1" applyFill="1" applyBorder="1" applyAlignment="1" applyProtection="1">
      <alignment horizontal="left"/>
    </xf>
    <xf numFmtId="0" fontId="12" fillId="10" borderId="1" xfId="1" applyNumberFormat="1" applyFont="1" applyFill="1" applyBorder="1" applyAlignment="1" applyProtection="1">
      <alignment wrapText="1"/>
    </xf>
    <xf numFmtId="0" fontId="12" fillId="10" borderId="2" xfId="1" applyNumberFormat="1" applyFont="1" applyFill="1" applyBorder="1" applyAlignment="1" applyProtection="1">
      <alignment wrapText="1"/>
    </xf>
    <xf numFmtId="0" fontId="12" fillId="10" borderId="3" xfId="1" applyNumberFormat="1" applyFont="1" applyFill="1" applyBorder="1" applyAlignment="1" applyProtection="1">
      <alignment wrapText="1"/>
    </xf>
    <xf numFmtId="0" fontId="29" fillId="6" borderId="4" xfId="0" applyFont="1" applyFill="1" applyBorder="1" applyAlignment="1">
      <alignment horizontal="center" vertical="top" wrapText="1"/>
    </xf>
    <xf numFmtId="0" fontId="30" fillId="6" borderId="4" xfId="0" applyFont="1" applyFill="1" applyBorder="1" applyAlignment="1">
      <alignment horizontal="center" vertical="top" wrapText="1"/>
    </xf>
    <xf numFmtId="0" fontId="2" fillId="10" borderId="1" xfId="0" applyFont="1" applyFill="1" applyBorder="1" applyAlignment="1">
      <alignment horizontal="left"/>
    </xf>
    <xf numFmtId="0" fontId="2" fillId="10" borderId="2" xfId="0" applyFont="1" applyFill="1" applyBorder="1" applyAlignment="1">
      <alignment horizontal="left"/>
    </xf>
    <xf numFmtId="0" fontId="2" fillId="10" borderId="3" xfId="0" applyFont="1" applyFill="1" applyBorder="1" applyAlignment="1">
      <alignment horizontal="left"/>
    </xf>
    <xf numFmtId="44" fontId="2" fillId="10" borderId="1" xfId="1" applyFont="1" applyFill="1" applyBorder="1" applyAlignment="1" applyProtection="1">
      <alignment horizontal="left"/>
      <protection locked="0"/>
    </xf>
    <xf numFmtId="44" fontId="2" fillId="10" borderId="2" xfId="1" applyFont="1" applyFill="1" applyBorder="1" applyAlignment="1" applyProtection="1">
      <alignment horizontal="left"/>
      <protection locked="0"/>
    </xf>
    <xf numFmtId="44" fontId="2" fillId="10" borderId="3" xfId="1" applyFont="1" applyFill="1" applyBorder="1" applyAlignment="1" applyProtection="1">
      <alignment horizontal="left"/>
      <protection locked="0"/>
    </xf>
    <xf numFmtId="0" fontId="35" fillId="18" borderId="1" xfId="1" applyNumberFormat="1" applyFont="1" applyFill="1" applyBorder="1" applyAlignment="1" applyProtection="1">
      <alignment horizontal="center"/>
    </xf>
    <xf numFmtId="0" fontId="35" fillId="18" borderId="2" xfId="1" applyNumberFormat="1" applyFont="1" applyFill="1" applyBorder="1" applyAlignment="1" applyProtection="1">
      <alignment horizontal="center"/>
    </xf>
    <xf numFmtId="0" fontId="35" fillId="18" borderId="3" xfId="1" applyNumberFormat="1" applyFont="1" applyFill="1" applyBorder="1" applyAlignment="1" applyProtection="1">
      <alignment horizontal="center"/>
    </xf>
    <xf numFmtId="0" fontId="21" fillId="0" borderId="0" xfId="0" applyFont="1" applyAlignment="1">
      <alignment horizontal="center"/>
    </xf>
    <xf numFmtId="0" fontId="12" fillId="10" borderId="1" xfId="1" applyNumberFormat="1" applyFont="1" applyFill="1" applyBorder="1" applyAlignment="1" applyProtection="1">
      <alignment horizontal="left" wrapText="1"/>
    </xf>
    <xf numFmtId="0" fontId="12" fillId="10" borderId="2" xfId="1" applyNumberFormat="1" applyFont="1" applyFill="1" applyBorder="1" applyAlignment="1" applyProtection="1">
      <alignment horizontal="left" wrapText="1"/>
    </xf>
    <xf numFmtId="0" fontId="12" fillId="10" borderId="3" xfId="1" applyNumberFormat="1" applyFont="1" applyFill="1" applyBorder="1" applyAlignment="1" applyProtection="1">
      <alignment horizontal="left" wrapText="1"/>
    </xf>
    <xf numFmtId="0" fontId="4" fillId="10" borderId="1" xfId="1" applyNumberFormat="1" applyFont="1" applyFill="1" applyBorder="1" applyAlignment="1" applyProtection="1">
      <alignment horizontal="left"/>
    </xf>
    <xf numFmtId="0" fontId="4" fillId="10" borderId="2" xfId="1" applyNumberFormat="1" applyFont="1" applyFill="1" applyBorder="1" applyAlignment="1" applyProtection="1">
      <alignment horizontal="left"/>
    </xf>
    <xf numFmtId="0" fontId="4" fillId="10" borderId="3" xfId="1" applyNumberFormat="1" applyFont="1" applyFill="1" applyBorder="1" applyAlignment="1" applyProtection="1">
      <alignment horizontal="left"/>
    </xf>
  </cellXfs>
  <cellStyles count="6">
    <cellStyle name="Ausgabe" xfId="4" builtinId="21"/>
    <cellStyle name="Komma" xfId="2" builtinId="3"/>
    <cellStyle name="Prozent" xfId="3" builtinId="5"/>
    <cellStyle name="Schlecht" xfId="5" builtinId="27"/>
    <cellStyle name="Standard" xfId="0" builtinId="0"/>
    <cellStyle name="Währung" xfId="1" builtinId="4"/>
  </cellStyles>
  <dxfs count="20">
    <dxf>
      <font>
        <strike val="0"/>
        <color theme="0"/>
      </font>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14996795556505021"/>
        </patternFill>
      </fill>
    </dxf>
    <dxf>
      <font>
        <b val="0"/>
        <i val="0"/>
        <color theme="0"/>
      </font>
    </dxf>
    <dxf>
      <font>
        <color theme="1"/>
      </font>
      <fill>
        <patternFill>
          <bgColor theme="2"/>
        </patternFill>
      </fill>
    </dxf>
    <dxf>
      <font>
        <color theme="1"/>
      </font>
      <fill>
        <patternFill>
          <fgColor theme="0"/>
          <bgColor theme="4" tint="0.39994506668294322"/>
        </patternFill>
      </fill>
    </dxf>
    <dxf>
      <font>
        <b/>
        <i val="0"/>
        <color rgb="FFC00000"/>
      </font>
      <fill>
        <patternFill>
          <bgColor theme="7" tint="0.79998168889431442"/>
        </patternFill>
      </fill>
    </dxf>
    <dxf>
      <font>
        <strike val="0"/>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800000"/>
      <color rgb="FFFFFF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18" lockText="1" noThreeD="1"/>
</file>

<file path=xl/ctrlProps/ctrlProp10.xml><?xml version="1.0" encoding="utf-8"?>
<formControlPr xmlns="http://schemas.microsoft.com/office/spreadsheetml/2009/9/main" objectType="CheckBox" fmlaLink="$U$23" lockText="1" noThreeD="1"/>
</file>

<file path=xl/ctrlProps/ctrlProp11.xml><?xml version="1.0" encoding="utf-8"?>
<formControlPr xmlns="http://schemas.microsoft.com/office/spreadsheetml/2009/9/main" objectType="CheckBox" fmlaLink="$V$23" lockText="1" noThreeD="1"/>
</file>

<file path=xl/ctrlProps/ctrlProp12.xml><?xml version="1.0" encoding="utf-8"?>
<formControlPr xmlns="http://schemas.microsoft.com/office/spreadsheetml/2009/9/main" objectType="CheckBox" fmlaLink="$W$23" lockText="1" noThreeD="1"/>
</file>

<file path=xl/ctrlProps/ctrlProp13.xml><?xml version="1.0" encoding="utf-8"?>
<formControlPr xmlns="http://schemas.microsoft.com/office/spreadsheetml/2009/9/main" objectType="CheckBox" fmlaLink="$Y$23" lockText="1" noThreeD="1"/>
</file>

<file path=xl/ctrlProps/ctrlProp14.xml><?xml version="1.0" encoding="utf-8"?>
<formControlPr xmlns="http://schemas.microsoft.com/office/spreadsheetml/2009/9/main" objectType="CheckBox" fmlaLink="$Z$23" lockText="1" noThreeD="1"/>
</file>

<file path=xl/ctrlProps/ctrlProp15.xml><?xml version="1.0" encoding="utf-8"?>
<formControlPr xmlns="http://schemas.microsoft.com/office/spreadsheetml/2009/9/main" objectType="CheckBox" fmlaLink="$AA$23" lockText="1" noThreeD="1"/>
</file>

<file path=xl/ctrlProps/ctrlProp16.xml><?xml version="1.0" encoding="utf-8"?>
<formControlPr xmlns="http://schemas.microsoft.com/office/spreadsheetml/2009/9/main" objectType="CheckBox" fmlaLink="$X$23" lockText="1" noThreeD="1"/>
</file>

<file path=xl/ctrlProps/ctrlProp17.xml><?xml version="1.0" encoding="utf-8"?>
<formControlPr xmlns="http://schemas.microsoft.com/office/spreadsheetml/2009/9/main" objectType="CheckBox" fmlaLink="$T$23" lockText="1" noThreeD="1"/>
</file>

<file path=xl/ctrlProps/ctrlProp18.xml><?xml version="1.0" encoding="utf-8"?>
<formControlPr xmlns="http://schemas.microsoft.com/office/spreadsheetml/2009/9/main" objectType="CheckBox" fmlaLink="$B$91" lockText="1" noThreeD="1"/>
</file>

<file path=xl/ctrlProps/ctrlProp19.xml><?xml version="1.0" encoding="utf-8"?>
<formControlPr xmlns="http://schemas.microsoft.com/office/spreadsheetml/2009/9/main" objectType="CheckBox" fmlaLink="$D$91" lockText="1" noThreeD="1"/>
</file>

<file path=xl/ctrlProps/ctrlProp2.xml><?xml version="1.0" encoding="utf-8"?>
<formControlPr xmlns="http://schemas.microsoft.com/office/spreadsheetml/2009/9/main" objectType="CheckBox" fmlaLink="$C$118" lockText="1" noThreeD="1"/>
</file>

<file path=xl/ctrlProps/ctrlProp20.xml><?xml version="1.0" encoding="utf-8"?>
<formControlPr xmlns="http://schemas.microsoft.com/office/spreadsheetml/2009/9/main" objectType="CheckBox" fmlaLink="$C$91" lockText="1" noThreeD="1"/>
</file>

<file path=xl/ctrlProps/ctrlProp21.xml><?xml version="1.0" encoding="utf-8"?>
<formControlPr xmlns="http://schemas.microsoft.com/office/spreadsheetml/2009/9/main" objectType="CheckBox" fmlaLink="$E$91" lockText="1" noThreeD="1"/>
</file>

<file path=xl/ctrlProps/ctrlProp22.xml><?xml version="1.0" encoding="utf-8"?>
<formControlPr xmlns="http://schemas.microsoft.com/office/spreadsheetml/2009/9/main" objectType="CheckBox" fmlaLink="$F$91" lockText="1" noThreeD="1"/>
</file>

<file path=xl/ctrlProps/ctrlProp23.xml><?xml version="1.0" encoding="utf-8"?>
<formControlPr xmlns="http://schemas.microsoft.com/office/spreadsheetml/2009/9/main" objectType="CheckBox" fmlaLink="$G$91" lockText="1" noThreeD="1"/>
</file>

<file path=xl/ctrlProps/ctrlProp24.xml><?xml version="1.0" encoding="utf-8"?>
<formControlPr xmlns="http://schemas.microsoft.com/office/spreadsheetml/2009/9/main" objectType="CheckBox" fmlaLink="$B$103" lockText="1" noThreeD="1"/>
</file>

<file path=xl/ctrlProps/ctrlProp25.xml><?xml version="1.0" encoding="utf-8"?>
<formControlPr xmlns="http://schemas.microsoft.com/office/spreadsheetml/2009/9/main" objectType="CheckBox" fmlaLink="$C$103" lockText="1" noThreeD="1"/>
</file>

<file path=xl/ctrlProps/ctrlProp26.xml><?xml version="1.0" encoding="utf-8"?>
<formControlPr xmlns="http://schemas.microsoft.com/office/spreadsheetml/2009/9/main" objectType="CheckBox" fmlaLink="$D$103" lockText="1" noThreeD="1"/>
</file>

<file path=xl/ctrlProps/ctrlProp27.xml><?xml version="1.0" encoding="utf-8"?>
<formControlPr xmlns="http://schemas.microsoft.com/office/spreadsheetml/2009/9/main" objectType="CheckBox" fmlaLink="$E$103" lockText="1" noThreeD="1"/>
</file>

<file path=xl/ctrlProps/ctrlProp28.xml><?xml version="1.0" encoding="utf-8"?>
<formControlPr xmlns="http://schemas.microsoft.com/office/spreadsheetml/2009/9/main" objectType="CheckBox" fmlaLink="$F$103" lockText="1" noThreeD="1"/>
</file>

<file path=xl/ctrlProps/ctrlProp29.xml><?xml version="1.0" encoding="utf-8"?>
<formControlPr xmlns="http://schemas.microsoft.com/office/spreadsheetml/2009/9/main" objectType="CheckBox" fmlaLink="$G$103" lockText="1" noThreeD="1"/>
</file>

<file path=xl/ctrlProps/ctrlProp3.xml><?xml version="1.0" encoding="utf-8"?>
<formControlPr xmlns="http://schemas.microsoft.com/office/spreadsheetml/2009/9/main" objectType="CheckBox" fmlaLink="$D$118" lockText="1" noThreeD="1"/>
</file>

<file path=xl/ctrlProps/ctrlProp30.xml><?xml version="1.0" encoding="utf-8"?>
<formControlPr xmlns="http://schemas.microsoft.com/office/spreadsheetml/2009/9/main" objectType="CheckBox" fmlaLink="$P$1" noThreeD="1"/>
</file>

<file path=xl/ctrlProps/ctrlProp31.xml><?xml version="1.0" encoding="utf-8"?>
<formControlPr xmlns="http://schemas.microsoft.com/office/spreadsheetml/2009/9/main" objectType="CheckBox" fmlaLink="$Q$1" noThreeD="1"/>
</file>

<file path=xl/ctrlProps/ctrlProp32.xml><?xml version="1.0" encoding="utf-8"?>
<formControlPr xmlns="http://schemas.microsoft.com/office/spreadsheetml/2009/9/main" objectType="CheckBox" fmlaLink="O4" noThreeD="1"/>
</file>

<file path=xl/ctrlProps/ctrlProp33.xml><?xml version="1.0" encoding="utf-8"?>
<formControlPr xmlns="http://schemas.microsoft.com/office/spreadsheetml/2009/9/main" objectType="CheckBox" fmlaLink="$P$1" noThreeD="1"/>
</file>

<file path=xl/ctrlProps/ctrlProp34.xml><?xml version="1.0" encoding="utf-8"?>
<formControlPr xmlns="http://schemas.microsoft.com/office/spreadsheetml/2009/9/main" objectType="CheckBox" fmlaLink="$Q$1" noThreeD="1"/>
</file>

<file path=xl/ctrlProps/ctrlProp35.xml><?xml version="1.0" encoding="utf-8"?>
<formControlPr xmlns="http://schemas.microsoft.com/office/spreadsheetml/2009/9/main" objectType="CheckBox" fmlaLink="$L$54" noThreeD="1"/>
</file>

<file path=xl/ctrlProps/ctrlProp36.xml><?xml version="1.0" encoding="utf-8"?>
<formControlPr xmlns="http://schemas.microsoft.com/office/spreadsheetml/2009/9/main" objectType="CheckBox" fmlaLink="$O$3" lockText="1" noThreeD="1"/>
</file>

<file path=xl/ctrlProps/ctrlProp37.xml><?xml version="1.0" encoding="utf-8"?>
<formControlPr xmlns="http://schemas.microsoft.com/office/spreadsheetml/2009/9/main" objectType="CheckBox" fmlaLink="$P$3" lockText="1" noThreeD="1"/>
</file>

<file path=xl/ctrlProps/ctrlProp38.xml><?xml version="1.0" encoding="utf-8"?>
<formControlPr xmlns="http://schemas.microsoft.com/office/spreadsheetml/2009/9/main" objectType="CheckBox" fmlaLink="$Q$3" noThreeD="1"/>
</file>

<file path=xl/ctrlProps/ctrlProp39.xml><?xml version="1.0" encoding="utf-8"?>
<formControlPr xmlns="http://schemas.microsoft.com/office/spreadsheetml/2009/9/main" objectType="CheckBox" fmlaLink="$R$3" noThreeD="1"/>
</file>

<file path=xl/ctrlProps/ctrlProp4.xml><?xml version="1.0" encoding="utf-8"?>
<formControlPr xmlns="http://schemas.microsoft.com/office/spreadsheetml/2009/9/main" objectType="CheckBox" fmlaLink="$E$118" lockText="1" noThreeD="1"/>
</file>

<file path=xl/ctrlProps/ctrlProp40.xml><?xml version="1.0" encoding="utf-8"?>
<formControlPr xmlns="http://schemas.microsoft.com/office/spreadsheetml/2009/9/main" objectType="CheckBox" fmlaLink="$S$3" noThreeD="1"/>
</file>

<file path=xl/ctrlProps/ctrlProp41.xml><?xml version="1.0" encoding="utf-8"?>
<formControlPr xmlns="http://schemas.microsoft.com/office/spreadsheetml/2009/9/main" objectType="CheckBox" fmlaLink="$T$3" noThreeD="1"/>
</file>

<file path=xl/ctrlProps/ctrlProp42.xml><?xml version="1.0" encoding="utf-8"?>
<formControlPr xmlns="http://schemas.microsoft.com/office/spreadsheetml/2009/9/main" objectType="CheckBox" fmlaLink="$U$3" noThreeD="1"/>
</file>

<file path=xl/ctrlProps/ctrlProp43.xml><?xml version="1.0" encoding="utf-8"?>
<formControlPr xmlns="http://schemas.microsoft.com/office/spreadsheetml/2009/9/main" objectType="CheckBox" fmlaLink="$V$3" noThreeD="1"/>
</file>

<file path=xl/ctrlProps/ctrlProp44.xml><?xml version="1.0" encoding="utf-8"?>
<formControlPr xmlns="http://schemas.microsoft.com/office/spreadsheetml/2009/9/main" objectType="CheckBox" fmlaLink="$W$3" noThreeD="1"/>
</file>

<file path=xl/ctrlProps/ctrlProp45.xml><?xml version="1.0" encoding="utf-8"?>
<formControlPr xmlns="http://schemas.microsoft.com/office/spreadsheetml/2009/9/main" objectType="CheckBox" fmlaLink="$L$3" noThreeD="1"/>
</file>

<file path=xl/ctrlProps/ctrlProp46.xml><?xml version="1.0" encoding="utf-8"?>
<formControlPr xmlns="http://schemas.microsoft.com/office/spreadsheetml/2009/9/main" objectType="CheckBox" fmlaLink="$M$3" noThreeD="1"/>
</file>

<file path=xl/ctrlProps/ctrlProp47.xml><?xml version="1.0" encoding="utf-8"?>
<formControlPr xmlns="http://schemas.microsoft.com/office/spreadsheetml/2009/9/main" objectType="CheckBox" fmlaLink="$N$3" noThreeD="1"/>
</file>

<file path=xl/ctrlProps/ctrlProp48.xml><?xml version="1.0" encoding="utf-8"?>
<formControlPr xmlns="http://schemas.microsoft.com/office/spreadsheetml/2009/9/main" objectType="CheckBox" fmlaLink="$O$3" noThreeD="1"/>
</file>

<file path=xl/ctrlProps/ctrlProp49.xml><?xml version="1.0" encoding="utf-8"?>
<formControlPr xmlns="http://schemas.microsoft.com/office/spreadsheetml/2009/9/main" objectType="CheckBox" fmlaLink="$P$3" noThreeD="1"/>
</file>

<file path=xl/ctrlProps/ctrlProp5.xml><?xml version="1.0" encoding="utf-8"?>
<formControlPr xmlns="http://schemas.microsoft.com/office/spreadsheetml/2009/9/main" objectType="CheckBox" fmlaLink="$F$118" lockText="1" noThreeD="1"/>
</file>

<file path=xl/ctrlProps/ctrlProp50.xml><?xml version="1.0" encoding="utf-8"?>
<formControlPr xmlns="http://schemas.microsoft.com/office/spreadsheetml/2009/9/main" objectType="CheckBox" fmlaLink="$Q$3" noThreeD="1"/>
</file>

<file path=xl/ctrlProps/ctrlProp51.xml><?xml version="1.0" encoding="utf-8"?>
<formControlPr xmlns="http://schemas.microsoft.com/office/spreadsheetml/2009/9/main" objectType="CheckBox" checked="Checked" fmlaLink="$L$30" noThreeD="1"/>
</file>

<file path=xl/ctrlProps/ctrlProp52.xml><?xml version="1.0" encoding="utf-8"?>
<formControlPr xmlns="http://schemas.microsoft.com/office/spreadsheetml/2009/9/main" objectType="CheckBox" fmlaLink="$Q$52" lockText="1" noThreeD="1"/>
</file>

<file path=xl/ctrlProps/ctrlProp53.xml><?xml version="1.0" encoding="utf-8"?>
<formControlPr xmlns="http://schemas.microsoft.com/office/spreadsheetml/2009/9/main" objectType="CheckBox" fmlaLink="$Q$53" lockText="1" noThreeD="1"/>
</file>

<file path=xl/ctrlProps/ctrlProp54.xml><?xml version="1.0" encoding="utf-8"?>
<formControlPr xmlns="http://schemas.microsoft.com/office/spreadsheetml/2009/9/main" objectType="CheckBox" fmlaLink="$Q$54" lockText="1" noThreeD="1"/>
</file>

<file path=xl/ctrlProps/ctrlProp55.xml><?xml version="1.0" encoding="utf-8"?>
<formControlPr xmlns="http://schemas.microsoft.com/office/spreadsheetml/2009/9/main" objectType="CheckBox" fmlaLink="$Q$55" lockText="1" noThreeD="1"/>
</file>

<file path=xl/ctrlProps/ctrlProp56.xml><?xml version="1.0" encoding="utf-8"?>
<formControlPr xmlns="http://schemas.microsoft.com/office/spreadsheetml/2009/9/main" objectType="CheckBox" fmlaLink="$Q$52" lockText="1" noThreeD="1"/>
</file>

<file path=xl/ctrlProps/ctrlProp57.xml><?xml version="1.0" encoding="utf-8"?>
<formControlPr xmlns="http://schemas.microsoft.com/office/spreadsheetml/2009/9/main" objectType="CheckBox" fmlaLink="$Q$53" lockText="1" noThreeD="1"/>
</file>

<file path=xl/ctrlProps/ctrlProp58.xml><?xml version="1.0" encoding="utf-8"?>
<formControlPr xmlns="http://schemas.microsoft.com/office/spreadsheetml/2009/9/main" objectType="CheckBox" fmlaLink="$Q$54" lockText="1" noThreeD="1"/>
</file>

<file path=xl/ctrlProps/ctrlProp59.xml><?xml version="1.0" encoding="utf-8"?>
<formControlPr xmlns="http://schemas.microsoft.com/office/spreadsheetml/2009/9/main" objectType="CheckBox" fmlaLink="$Q$55" lockText="1" noThreeD="1"/>
</file>

<file path=xl/ctrlProps/ctrlProp6.xml><?xml version="1.0" encoding="utf-8"?>
<formControlPr xmlns="http://schemas.microsoft.com/office/spreadsheetml/2009/9/main" objectType="CheckBox" fmlaLink="$G$118" lockText="1" noThreeD="1"/>
</file>

<file path=xl/ctrlProps/ctrlProp7.xml><?xml version="1.0" encoding="utf-8"?>
<formControlPr xmlns="http://schemas.microsoft.com/office/spreadsheetml/2009/9/main" objectType="CheckBox" fmlaLink="N4" noThreeD="1"/>
</file>

<file path=xl/ctrlProps/ctrlProp8.xml><?xml version="1.0" encoding="utf-8"?>
<formControlPr xmlns="http://schemas.microsoft.com/office/spreadsheetml/2009/9/main" objectType="CheckBox" fmlaLink="$P$1" noThreeD="1"/>
</file>

<file path=xl/ctrlProps/ctrlProp9.xml><?xml version="1.0" encoding="utf-8"?>
<formControlPr xmlns="http://schemas.microsoft.com/office/spreadsheetml/2009/9/main" objectType="CheckBox" fmlaLink="$I$59"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arbeitsagentur.de/datei/fw-bkgg_ba013284.pdf"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ohngeld-mv.de/Rechner/"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wohngeld-mv.de/Rechner/"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84</xdr:row>
      <xdr:rowOff>20192</xdr:rowOff>
    </xdr:from>
    <xdr:to>
      <xdr:col>8</xdr:col>
      <xdr:colOff>839560</xdr:colOff>
      <xdr:row>96</xdr:row>
      <xdr:rowOff>80596</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0" y="11142461"/>
          <a:ext cx="11397656" cy="2258481"/>
        </a:xfrm>
        <a:prstGeom prst="rect">
          <a:avLst/>
        </a:prstGeom>
        <a:solidFill>
          <a:sysClr val="window" lastClr="FFFFFF">
            <a:lumMod val="95000"/>
          </a:sys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b="1">
              <a:effectLst/>
              <a:latin typeface="+mn-lt"/>
              <a:ea typeface="+mn-ea"/>
              <a:cs typeface="+mn-cs"/>
            </a:rPr>
            <a:t>»Überschießendes</a:t>
          </a:r>
          <a:r>
            <a:rPr lang="de-DE" sz="1100" b="1" baseline="0">
              <a:effectLst/>
              <a:latin typeface="+mn-lt"/>
              <a:ea typeface="+mn-ea"/>
              <a:cs typeface="+mn-cs"/>
            </a:rPr>
            <a:t> Kindergeld</a:t>
          </a:r>
          <a:r>
            <a:rPr lang="de-DE" sz="1100" b="1">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das vom Kind nicht für den eigenen Lebensunterhalt benötigt wird, kommt bei der Einkommensberechnung der Eltern (Durchschnittsberechnung der letzten 6 Monate) aufgrund der 45%-Regelung selten vor. Sollte das aufgrund eines sehr hohen Kindeseinkommen doch der Fall sein, ist dieses überschießende Kindergeld bei den Eltern als sonstiges Einkommen einzutragen.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Aus der DA-KiZ (Beispiel aktualisiert; Seite 32):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Kindergeld (sowohl nach dem BKGG als auch nach dem EStG) für zur BG gehörende Kinder ist nach § 11 Absatz 1 SGB II dem Kind als Einkommen zuzuordnen, soweit es für die Sicherung des Lebensunterhaltes benötigt wird. Bezieht das unter 25 Jahre alte Kind eigenes Einkommen</a:t>
          </a:r>
          <a:r>
            <a:rPr kumimoji="0" lang="de-DE" sz="1100" b="1" i="0" u="none" strike="noStrike" kern="0" cap="none" spc="0" normalizeH="0" baseline="0" noProof="0">
              <a:ln>
                <a:noFill/>
              </a:ln>
              <a:solidFill>
                <a:sysClr val="windowText" lastClr="000000"/>
              </a:solidFill>
              <a:effectLst/>
              <a:uLnTx/>
              <a:uFillTx/>
              <a:latin typeface="Calibri" panose="020F0502020204030204"/>
              <a:ea typeface="+mn-ea"/>
              <a:cs typeface="+mn-cs"/>
            </a:rPr>
            <a:t>, wird das Kindergeld als Einkommen der Eltern berücksichtigt, sofern es zusammen </a:t>
          </a:r>
          <a:r>
            <a:rPr kumimoji="0" lang="de-DE" sz="1200" b="1" i="0" u="sng" strike="noStrike" kern="0" cap="none" spc="0" normalizeH="0" baseline="0" noProof="0">
              <a:ln>
                <a:noFill/>
              </a:ln>
              <a:solidFill>
                <a:srgbClr val="800000"/>
              </a:solidFill>
              <a:effectLst/>
              <a:uLnTx/>
              <a:uFillTx/>
              <a:latin typeface="Calibri" panose="020F0502020204030204"/>
              <a:ea typeface="+mn-ea"/>
              <a:cs typeface="+mn-cs"/>
            </a:rPr>
            <a:t>mit 45 Prozent des Kindeseinkommens</a:t>
          </a:r>
          <a:r>
            <a:rPr kumimoji="0" lang="de-DE" sz="1100" b="1" i="0" u="none" strike="noStrike" kern="0" cap="none" spc="0" normalizeH="0" baseline="0" noProof="0">
              <a:ln>
                <a:noFill/>
              </a:ln>
              <a:solidFill>
                <a:srgbClr val="800000"/>
              </a:solidFill>
              <a:effectLst/>
              <a:uLnTx/>
              <a:uFillTx/>
              <a:latin typeface="Calibri" panose="020F0502020204030204"/>
              <a:ea typeface="+mn-ea"/>
              <a:cs typeface="+mn-cs"/>
            </a:rPr>
            <a:t> </a:t>
          </a:r>
          <a:r>
            <a:rPr kumimoji="0" lang="de-DE" sz="1100" b="1" i="0" u="none" strike="noStrike" kern="0" cap="none" spc="0" normalizeH="0" baseline="0" noProof="0">
              <a:ln>
                <a:noFill/>
              </a:ln>
              <a:solidFill>
                <a:sysClr val="windowText" lastClr="000000"/>
              </a:solidFill>
              <a:effectLst/>
              <a:uLnTx/>
              <a:uFillTx/>
              <a:latin typeface="Calibri" panose="020F0502020204030204"/>
              <a:ea typeface="+mn-ea"/>
              <a:cs typeface="+mn-cs"/>
            </a:rPr>
            <a:t>nicht für den Bedarf des Kindes benötigt wird</a:t>
          </a: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 Das vom Kind selbst erzielte Einkommen wird nicht als Einkommen der Eltern berücksichtigt.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n-lt"/>
              <a:ea typeface="+mn-ea"/>
              <a:cs typeface="+mn-cs"/>
            </a:rPr>
            <a:t>(vgl. DA-KiZ (2024), Seite 33, https://www.arbeitsagentur.de/datei/fw-bkgg_ba013284.pdf )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14</xdr:col>
      <xdr:colOff>670988</xdr:colOff>
      <xdr:row>0</xdr:row>
      <xdr:rowOff>63500</xdr:rowOff>
    </xdr:from>
    <xdr:to>
      <xdr:col>19</xdr:col>
      <xdr:colOff>1235002</xdr:colOff>
      <xdr:row>20</xdr:row>
      <xdr:rowOff>132773</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16720613" y="63500"/>
          <a:ext cx="4834389" cy="339508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1200" b="0" i="0" u="none" strike="noStrike" kern="0" cap="none" spc="0" normalizeH="0" baseline="0" noProof="0">
              <a:ln>
                <a:noFill/>
              </a:ln>
              <a:solidFill>
                <a:srgbClr val="800000"/>
              </a:solidFill>
              <a:effectLst/>
              <a:uLnTx/>
              <a:uFillTx/>
              <a:latin typeface="+mn-lt"/>
              <a:ea typeface="+mn-ea"/>
              <a:cs typeface="+mn-cs"/>
            </a:rPr>
            <a:t>Beim Start beachten:</a:t>
          </a:r>
        </a:p>
        <a:p>
          <a:pPr marL="285750" marR="0" lvl="0" indent="-2857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de-DE" sz="1200" b="1" i="0" u="none" strike="noStrike" kern="0" cap="none" spc="0" normalizeH="0" baseline="0" noProof="0">
              <a:ln>
                <a:noFill/>
              </a:ln>
              <a:solidFill>
                <a:srgbClr val="800000"/>
              </a:solidFill>
              <a:effectLst/>
              <a:uLnTx/>
              <a:uFillTx/>
              <a:latin typeface="+mn-lt"/>
              <a:ea typeface="+mn-ea"/>
              <a:cs typeface="+mn-cs"/>
            </a:rPr>
            <a:t>Zuerst muss das Tabellenblatt "SGB II alleinstehend - erziehend" ausgefüllt werden.</a:t>
          </a:r>
        </a:p>
        <a:p>
          <a:pPr marL="285750" marR="0" lvl="0" indent="-2857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de-DE" sz="1200" b="1" i="0" u="sng" strike="noStrike" kern="0" cap="none" spc="0" normalizeH="0" baseline="0" noProof="0">
              <a:ln>
                <a:noFill/>
              </a:ln>
              <a:solidFill>
                <a:srgbClr val="800000"/>
              </a:solidFill>
              <a:effectLst/>
              <a:uLnTx/>
              <a:uFillTx/>
              <a:latin typeface="+mn-lt"/>
              <a:ea typeface="+mn-ea"/>
              <a:cs typeface="+mn-cs"/>
            </a:rPr>
            <a:t>Kinderzuschlag gibt es nur für Kinder, für die Kindergeld bezogen wird. </a:t>
          </a:r>
          <a:r>
            <a:rPr kumimoji="0" lang="de-DE" sz="1200" b="0" i="0" u="none" strike="noStrike" kern="0" cap="none" spc="0" normalizeH="0" baseline="0" noProof="0">
              <a:ln>
                <a:noFill/>
              </a:ln>
              <a:solidFill>
                <a:srgbClr val="800000"/>
              </a:solidFill>
              <a:effectLst/>
              <a:uLnTx/>
              <a:uFillTx/>
              <a:latin typeface="+mn-lt"/>
              <a:ea typeface="+mn-ea"/>
              <a:cs typeface="+mn-cs"/>
            </a:rPr>
            <a:t>Daher muss zwingend das Kindergeld im Tabellenblatt  "SGB II alleinstehend - erziehend" eingetragen sein.</a:t>
          </a:r>
        </a:p>
        <a:p>
          <a:pPr marL="285750" marR="0" lvl="0" indent="-2857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de-DE" sz="1200" b="1" i="0" u="none" strike="noStrike" kern="0" cap="none" spc="0" normalizeH="0" baseline="0" noProof="0">
              <a:ln>
                <a:noFill/>
              </a:ln>
              <a:solidFill>
                <a:srgbClr val="800000"/>
              </a:solidFill>
              <a:effectLst/>
              <a:uLnTx/>
              <a:uFillTx/>
              <a:latin typeface="+mn-lt"/>
              <a:ea typeface="+mn-ea"/>
              <a:cs typeface="+mn-cs"/>
            </a:rPr>
            <a:t>Nur zur Information: </a:t>
          </a:r>
          <a:r>
            <a:rPr kumimoji="0" lang="de-DE" sz="1200" b="0" i="0" u="none" strike="noStrike" kern="0" cap="none" spc="0" normalizeH="0" baseline="0" noProof="0">
              <a:ln>
                <a:noFill/>
              </a:ln>
              <a:solidFill>
                <a:srgbClr val="800000"/>
              </a:solidFill>
              <a:effectLst/>
              <a:uLnTx/>
              <a:uFillTx/>
              <a:latin typeface="+mn-lt"/>
              <a:ea typeface="+mn-ea"/>
              <a:cs typeface="+mn-cs"/>
            </a:rPr>
            <a:t>Wenn Kinder mit Kindergeld </a:t>
          </a:r>
          <a:r>
            <a:rPr kumimoji="0" lang="de-DE" sz="1200" b="1" i="0" u="sng" strike="noStrike" kern="0" cap="none" spc="0" normalizeH="0" baseline="0" noProof="0">
              <a:ln>
                <a:noFill/>
              </a:ln>
              <a:solidFill>
                <a:srgbClr val="800000"/>
              </a:solidFill>
              <a:effectLst/>
              <a:uLnTx/>
              <a:uFillTx/>
              <a:latin typeface="+mn-lt"/>
              <a:ea typeface="+mn-ea"/>
              <a:cs typeface="+mn-cs"/>
            </a:rPr>
            <a:t>im Sinne des BKGG </a:t>
          </a:r>
          <a:r>
            <a:rPr kumimoji="0" lang="de-DE" sz="1200" b="0" i="0" u="none" strike="noStrike" kern="0" cap="none" spc="0" normalizeH="0" baseline="0" noProof="0">
              <a:ln>
                <a:noFill/>
              </a:ln>
              <a:solidFill>
                <a:srgbClr val="800000"/>
              </a:solidFill>
              <a:effectLst/>
              <a:uLnTx/>
              <a:uFillTx/>
              <a:latin typeface="+mn-lt"/>
              <a:ea typeface="+mn-ea"/>
              <a:cs typeface="+mn-cs"/>
            </a:rPr>
            <a:t>(Anrechnung von Kindereinkommen nur zu 45%, daher selten) nicht bedürftig sind, berücksichtigt die Rechenhilfe nur die Bedarfsgemeinschaft ohne die Kinder (auch Unterkunftsbedarfe der Eltern werden entsprechend der BG-Größe ohne die Kinder berechnet).</a:t>
          </a:r>
        </a:p>
      </xdr:txBody>
    </xdr:sp>
    <xdr:clientData/>
  </xdr:twoCellAnchor>
  <xdr:twoCellAnchor>
    <xdr:from>
      <xdr:col>2</xdr:col>
      <xdr:colOff>37523</xdr:colOff>
      <xdr:row>9</xdr:row>
      <xdr:rowOff>173182</xdr:rowOff>
    </xdr:from>
    <xdr:to>
      <xdr:col>5</xdr:col>
      <xdr:colOff>1088158</xdr:colOff>
      <xdr:row>13</xdr:row>
      <xdr:rowOff>190499</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029364" y="1705841"/>
          <a:ext cx="4098635" cy="89188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baseline="0"/>
            <a:t>Vor Nutzung des Tabellenblatts, muss die Tabelle "SGB II alleinstehend-allerziehend" ausgefüllt werden. </a:t>
          </a:r>
          <a:r>
            <a:rPr lang="de-DE" sz="1100" baseline="0">
              <a:solidFill>
                <a:schemeClr val="dk1"/>
              </a:solidFill>
              <a:effectLst/>
              <a:latin typeface="+mn-lt"/>
              <a:ea typeface="+mn-ea"/>
              <a:cs typeface="+mn-cs"/>
            </a:rPr>
            <a:t>Die KiZ-Berechnung wird nur für die Kalenderjahre, 2020 bis 2024 unterstützt </a:t>
          </a:r>
          <a:endParaRPr lang="de-DE">
            <a:effectLst/>
          </a:endParaRPr>
        </a:p>
        <a:p>
          <a:endParaRPr lang="de-DE" sz="1100"/>
        </a:p>
      </xdr:txBody>
    </xdr:sp>
    <xdr:clientData/>
  </xdr:twoCellAnchor>
  <xdr:twoCellAnchor>
    <xdr:from>
      <xdr:col>22</xdr:col>
      <xdr:colOff>38100</xdr:colOff>
      <xdr:row>51</xdr:row>
      <xdr:rowOff>63500</xdr:rowOff>
    </xdr:from>
    <xdr:to>
      <xdr:col>29</xdr:col>
      <xdr:colOff>127000</xdr:colOff>
      <xdr:row>58</xdr:row>
      <xdr:rowOff>208643</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6983529" y="7592786"/>
          <a:ext cx="5831114" cy="943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Zelle Z</a:t>
          </a:r>
          <a:r>
            <a:rPr lang="de-DE" sz="1100" baseline="0">
              <a:solidFill>
                <a:schemeClr val="dk1"/>
              </a:solidFill>
              <a:effectLst/>
              <a:latin typeface="+mn-lt"/>
              <a:ea typeface="+mn-ea"/>
              <a:cs typeface="+mn-cs"/>
            </a:rPr>
            <a:t> 48 </a:t>
          </a:r>
          <a:r>
            <a:rPr lang="de-DE" sz="1100">
              <a:solidFill>
                <a:schemeClr val="dk1"/>
              </a:solidFill>
              <a:effectLst/>
              <a:latin typeface="+mn-lt"/>
              <a:ea typeface="+mn-ea"/>
              <a:cs typeface="+mn-cs"/>
            </a:rPr>
            <a:t>berechnet, dass Kinder dann zur BG im Sinne des KiZ </a:t>
          </a:r>
          <a:r>
            <a:rPr lang="de-DE" sz="1100" b="1" u="sng">
              <a:solidFill>
                <a:schemeClr val="dk1"/>
              </a:solidFill>
              <a:effectLst/>
              <a:latin typeface="+mn-lt"/>
              <a:ea typeface="+mn-ea"/>
              <a:cs typeface="+mn-cs"/>
            </a:rPr>
            <a:t>bedarfsmäßig</a:t>
          </a:r>
          <a:r>
            <a:rPr lang="de-DE" sz="1100">
              <a:solidFill>
                <a:schemeClr val="dk1"/>
              </a:solidFill>
              <a:effectLst/>
              <a:latin typeface="+mn-lt"/>
              <a:ea typeface="+mn-ea"/>
              <a:cs typeface="+mn-cs"/>
            </a:rPr>
            <a:t>  gehören, wenn Sie entweder im Bedarfsmonat im Sinne des SGB II bedürftig sind (ohne Kindergeldbezug</a:t>
          </a:r>
          <a:r>
            <a:rPr lang="de-DE" sz="1100" baseline="0">
              <a:solidFill>
                <a:schemeClr val="dk1"/>
              </a:solidFill>
              <a:effectLst/>
              <a:latin typeface="+mn-lt"/>
              <a:ea typeface="+mn-ea"/>
              <a:cs typeface="+mn-cs"/>
            </a:rPr>
            <a:t> siehe C66 ins SGB II), </a:t>
          </a:r>
          <a:r>
            <a:rPr lang="de-DE" sz="1100" b="1" baseline="0">
              <a:solidFill>
                <a:schemeClr val="dk1"/>
              </a:solidFill>
              <a:effectLst/>
              <a:latin typeface="+mn-lt"/>
              <a:ea typeface="+mn-ea"/>
              <a:cs typeface="+mn-cs"/>
            </a:rPr>
            <a:t>oder Kindergeld "beziehen" </a:t>
          </a:r>
          <a:r>
            <a:rPr lang="de-DE" sz="1100" b="1" u="sng" baseline="0">
              <a:solidFill>
                <a:schemeClr val="dk1"/>
              </a:solidFill>
              <a:effectLst/>
              <a:latin typeface="+mn-lt"/>
              <a:ea typeface="+mn-ea"/>
              <a:cs typeface="+mn-cs"/>
            </a:rPr>
            <a:t>und</a:t>
          </a:r>
          <a:r>
            <a:rPr lang="de-DE" sz="1100" b="1" baseline="0">
              <a:solidFill>
                <a:schemeClr val="dk1"/>
              </a:solidFill>
              <a:effectLst/>
              <a:latin typeface="+mn-lt"/>
              <a:ea typeface="+mn-ea"/>
              <a:cs typeface="+mn-cs"/>
            </a:rPr>
            <a:t> im Sinne der KiZ-BG bedürftig </a:t>
          </a:r>
          <a:r>
            <a:rPr lang="de-DE" sz="1100" baseline="0">
              <a:solidFill>
                <a:schemeClr val="dk1"/>
              </a:solidFill>
              <a:effectLst/>
              <a:latin typeface="+mn-lt"/>
              <a:ea typeface="+mn-ea"/>
              <a:cs typeface="+mn-cs"/>
            </a:rPr>
            <a:t>sind (siehe Z 46): der addierte Wert steht dann in Z48!!!!</a:t>
          </a:r>
          <a:endParaRPr lang="de-DE">
            <a:effectLst/>
          </a:endParaRPr>
        </a:p>
      </xdr:txBody>
    </xdr:sp>
    <xdr:clientData/>
  </xdr:twoCellAnchor>
  <xdr:twoCellAnchor>
    <xdr:from>
      <xdr:col>2</xdr:col>
      <xdr:colOff>62878</xdr:colOff>
      <xdr:row>77</xdr:row>
      <xdr:rowOff>55418</xdr:rowOff>
    </xdr:from>
    <xdr:to>
      <xdr:col>8</xdr:col>
      <xdr:colOff>845128</xdr:colOff>
      <xdr:row>83</xdr:row>
      <xdr:rowOff>121493</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4177678" y="9725891"/>
          <a:ext cx="7217686" cy="131298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Hinweise:</a:t>
          </a:r>
        </a:p>
        <a:p>
          <a:r>
            <a:rPr lang="de-DE" sz="1050" b="0">
              <a:solidFill>
                <a:schemeClr val="dk1"/>
              </a:solidFill>
              <a:effectLst/>
              <a:latin typeface="+mn-lt"/>
              <a:ea typeface="+mn-ea"/>
              <a:cs typeface="+mn-cs"/>
            </a:rPr>
            <a:t>1) Wenn Hilfebedürtgikeit</a:t>
          </a:r>
          <a:r>
            <a:rPr lang="de-DE" sz="1050" b="0" baseline="0">
              <a:solidFill>
                <a:schemeClr val="dk1"/>
              </a:solidFill>
              <a:effectLst/>
              <a:latin typeface="+mn-lt"/>
              <a:ea typeface="+mn-ea"/>
              <a:cs typeface="+mn-cs"/>
            </a:rPr>
            <a:t> nicht überwunden ist und </a:t>
          </a:r>
          <a:r>
            <a:rPr lang="de-DE" sz="1050" b="0">
              <a:solidFill>
                <a:schemeClr val="dk1"/>
              </a:solidFill>
              <a:effectLst/>
              <a:latin typeface="+mn-lt"/>
              <a:ea typeface="+mn-ea"/>
              <a:cs typeface="+mn-cs"/>
            </a:rPr>
            <a:t>KiZ  </a:t>
          </a:r>
          <a:r>
            <a:rPr lang="de-DE" sz="1050" b="0" u="sng">
              <a:solidFill>
                <a:schemeClr val="dk1"/>
              </a:solidFill>
              <a:effectLst/>
              <a:latin typeface="+mn-lt"/>
              <a:ea typeface="+mn-ea"/>
              <a:cs typeface="+mn-cs"/>
            </a:rPr>
            <a:t>nur</a:t>
          </a:r>
          <a:r>
            <a:rPr lang="de-DE" sz="1050" b="0">
              <a:solidFill>
                <a:schemeClr val="dk1"/>
              </a:solidFill>
              <a:effectLst/>
              <a:latin typeface="+mn-lt"/>
              <a:ea typeface="+mn-ea"/>
              <a:cs typeface="+mn-cs"/>
            </a:rPr>
            <a:t> aufgrund</a:t>
          </a:r>
          <a:r>
            <a:rPr lang="de-DE" sz="1050" b="0" baseline="0">
              <a:solidFill>
                <a:schemeClr val="dk1"/>
              </a:solidFill>
              <a:effectLst/>
              <a:latin typeface="+mn-lt"/>
              <a:ea typeface="+mn-ea"/>
              <a:cs typeface="+mn-cs"/>
            </a:rPr>
            <a:t> </a:t>
          </a:r>
          <a:r>
            <a:rPr lang="de-DE" sz="1050" b="1" baseline="0">
              <a:solidFill>
                <a:schemeClr val="dk1"/>
              </a:solidFill>
              <a:effectLst/>
              <a:latin typeface="+mn-lt"/>
              <a:ea typeface="+mn-ea"/>
              <a:cs typeface="+mn-cs"/>
            </a:rPr>
            <a:t>§ 6a Abs. 1a BKGG </a:t>
          </a:r>
          <a:r>
            <a:rPr lang="de-DE" sz="1050" b="0" baseline="0">
              <a:solidFill>
                <a:schemeClr val="dk1"/>
              </a:solidFill>
              <a:effectLst/>
              <a:latin typeface="+mn-lt"/>
              <a:ea typeface="+mn-ea"/>
              <a:cs typeface="+mn-cs"/>
            </a:rPr>
            <a:t>bewilligt wird, besteht Beratungsbedarf.</a:t>
          </a:r>
        </a:p>
        <a:p>
          <a:pPr marL="0" indent="0" algn="l" defTabSz="360000">
            <a:spcBef>
              <a:spcPts val="600"/>
            </a:spcBef>
            <a:tabLst>
              <a:tab pos="360000" algn="l"/>
            </a:tabLst>
          </a:pPr>
          <a:r>
            <a:rPr lang="de-DE" sz="1050" b="0" baseline="0">
              <a:solidFill>
                <a:schemeClr val="dk1"/>
              </a:solidFill>
              <a:effectLst/>
              <a:latin typeface="+mn-lt"/>
              <a:ea typeface="+mn-ea"/>
              <a:cs typeface="+mn-cs"/>
            </a:rPr>
            <a:t>2) Wenn SGB II-Hilfebedürftigkeit nach der Logik des BKGG (Berücksichtigung des Durchschnittseinkommens der letzten sechs Monate) überwunden ist, kann dennoch im aktuellen Monat der Bedarf durch Kinderzuschlag/Wohngeld  </a:t>
          </a:r>
          <a:r>
            <a:rPr lang="de-DE" sz="1050" b="1" u="none" baseline="0">
              <a:solidFill>
                <a:schemeClr val="dk1"/>
              </a:solidFill>
              <a:effectLst/>
              <a:latin typeface="+mn-lt"/>
              <a:ea typeface="+mn-ea"/>
              <a:cs typeface="+mn-cs"/>
            </a:rPr>
            <a:t>tatsächlich </a:t>
          </a:r>
          <a:r>
            <a:rPr lang="de-DE" sz="1050" b="1" u="sng" baseline="0">
              <a:solidFill>
                <a:schemeClr val="dk1"/>
              </a:solidFill>
              <a:effectLst/>
              <a:latin typeface="+mn-lt"/>
              <a:ea typeface="+mn-ea"/>
              <a:cs typeface="+mn-cs"/>
            </a:rPr>
            <a:t>nicht</a:t>
          </a:r>
          <a:r>
            <a:rPr lang="de-DE" sz="1050" b="1" u="none" baseline="0">
              <a:solidFill>
                <a:schemeClr val="dk1"/>
              </a:solidFill>
              <a:effectLst/>
              <a:latin typeface="+mn-lt"/>
              <a:ea typeface="+mn-ea"/>
              <a:cs typeface="+mn-cs"/>
            </a:rPr>
            <a:t> gedeckt </a:t>
          </a:r>
          <a:r>
            <a:rPr lang="de-DE" sz="1050" b="0" baseline="0">
              <a:solidFill>
                <a:schemeClr val="dk1"/>
              </a:solidFill>
              <a:effectLst/>
              <a:latin typeface="+mn-lt"/>
              <a:ea typeface="+mn-ea"/>
              <a:cs typeface="+mn-cs"/>
            </a:rPr>
            <a:t>sein. Dann besteht zwar ein KiZ-Anspruch. Die Antragstellung ist aber nicht sinnvol</a:t>
          </a:r>
          <a:r>
            <a:rPr lang="de-DE" sz="1050" b="0">
              <a:solidFill>
                <a:schemeClr val="dk1"/>
              </a:solidFill>
              <a:effectLst/>
              <a:latin typeface="+mn-lt"/>
              <a:ea typeface="+mn-ea"/>
              <a:cs typeface="+mn-cs"/>
            </a:rPr>
            <a:t>l.</a:t>
          </a:r>
        </a:p>
        <a:p>
          <a:endParaRPr lang="de-DE">
            <a:effectLst/>
          </a:endParaRPr>
        </a:p>
        <a:p>
          <a:pPr>
            <a:spcBef>
              <a:spcPts val="600"/>
            </a:spcBef>
          </a:pPr>
          <a:endParaRPr lang="de-DE" sz="1100" b="1" baseline="0">
            <a:solidFill>
              <a:schemeClr val="dk1"/>
            </a:solidFill>
            <a:effectLst/>
            <a:latin typeface="+mn-lt"/>
            <a:ea typeface="+mn-ea"/>
            <a:cs typeface="+mn-cs"/>
          </a:endParaRPr>
        </a:p>
        <a:p>
          <a:endParaRPr lang="de-DE">
            <a:effectLst/>
          </a:endParaRPr>
        </a:p>
      </xdr:txBody>
    </xdr:sp>
    <xdr:clientData/>
  </xdr:twoCellAnchor>
  <xdr:twoCellAnchor>
    <xdr:from>
      <xdr:col>8</xdr:col>
      <xdr:colOff>843517</xdr:colOff>
      <xdr:row>130</xdr:row>
      <xdr:rowOff>134470</xdr:rowOff>
    </xdr:from>
    <xdr:to>
      <xdr:col>36</xdr:col>
      <xdr:colOff>752652</xdr:colOff>
      <xdr:row>214</xdr:row>
      <xdr:rowOff>1913</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11108105" y="14231470"/>
          <a:ext cx="6397341" cy="15869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333375</xdr:colOff>
          <xdr:row>20</xdr:row>
          <xdr:rowOff>66675</xdr:rowOff>
        </xdr:from>
        <xdr:to>
          <xdr:col>1</xdr:col>
          <xdr:colOff>561975</xdr:colOff>
          <xdr:row>20</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20</xdr:row>
          <xdr:rowOff>85725</xdr:rowOff>
        </xdr:from>
        <xdr:to>
          <xdr:col>2</xdr:col>
          <xdr:colOff>571500</xdr:colOff>
          <xdr:row>20</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20</xdr:row>
          <xdr:rowOff>66675</xdr:rowOff>
        </xdr:from>
        <xdr:to>
          <xdr:col>3</xdr:col>
          <xdr:colOff>600075</xdr:colOff>
          <xdr:row>20</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20</xdr:row>
          <xdr:rowOff>104775</xdr:rowOff>
        </xdr:from>
        <xdr:to>
          <xdr:col>4</xdr:col>
          <xdr:colOff>657225</xdr:colOff>
          <xdr:row>20</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20</xdr:row>
          <xdr:rowOff>85725</xdr:rowOff>
        </xdr:from>
        <xdr:to>
          <xdr:col>5</xdr:col>
          <xdr:colOff>542925</xdr:colOff>
          <xdr:row>20</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20</xdr:row>
          <xdr:rowOff>85725</xdr:rowOff>
        </xdr:from>
        <xdr:to>
          <xdr:col>6</xdr:col>
          <xdr:colOff>638175</xdr:colOff>
          <xdr:row>20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33618</xdr:colOff>
      <xdr:row>30</xdr:row>
      <xdr:rowOff>98797</xdr:rowOff>
    </xdr:from>
    <xdr:to>
      <xdr:col>64</xdr:col>
      <xdr:colOff>537870</xdr:colOff>
      <xdr:row>97</xdr:row>
      <xdr:rowOff>61378</xdr:rowOff>
    </xdr:to>
    <xdr:sp macro="" textlink="">
      <xdr:nvSpPr>
        <xdr:cNvPr id="7" name="Rechteck 6">
          <a:extLst>
            <a:ext uri="{FF2B5EF4-FFF2-40B4-BE49-F238E27FC236}">
              <a16:creationId xmlns:a16="http://schemas.microsoft.com/office/drawing/2014/main" id="{00000000-0008-0000-0000-000007000000}"/>
            </a:ext>
          </a:extLst>
        </xdr:cNvPr>
        <xdr:cNvSpPr/>
      </xdr:nvSpPr>
      <xdr:spPr>
        <a:xfrm>
          <a:off x="11161059" y="5074209"/>
          <a:ext cx="27465605" cy="889366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17317</xdr:colOff>
      <xdr:row>0</xdr:row>
      <xdr:rowOff>8659</xdr:rowOff>
    </xdr:from>
    <xdr:to>
      <xdr:col>8</xdr:col>
      <xdr:colOff>831272</xdr:colOff>
      <xdr:row>1</xdr:row>
      <xdr:rowOff>251114</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4009158" y="8659"/>
          <a:ext cx="7065819" cy="519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a:solidFill>
                <a:schemeClr val="accent6">
                  <a:lumMod val="50000"/>
                </a:schemeClr>
              </a:solidFill>
            </a:rPr>
            <a:t>Eingabe nur</a:t>
          </a:r>
          <a:r>
            <a:rPr lang="de-DE" sz="2400" b="1" i="0" baseline="0">
              <a:solidFill>
                <a:schemeClr val="accent6">
                  <a:lumMod val="50000"/>
                </a:schemeClr>
              </a:solidFill>
            </a:rPr>
            <a:t> in grüne Felder möglich!</a:t>
          </a:r>
          <a:endParaRPr lang="de-DE" sz="2400" b="1" i="0">
            <a:solidFill>
              <a:schemeClr val="accent6">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447675</xdr:colOff>
          <xdr:row>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1</xdr:row>
          <xdr:rowOff>47625</xdr:rowOff>
        </xdr:from>
        <xdr:to>
          <xdr:col>1</xdr:col>
          <xdr:colOff>885825</xdr:colOff>
          <xdr:row>1</xdr:row>
          <xdr:rowOff>228600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29104</xdr:colOff>
      <xdr:row>20</xdr:row>
      <xdr:rowOff>42125</xdr:rowOff>
    </xdr:from>
    <xdr:to>
      <xdr:col>36</xdr:col>
      <xdr:colOff>487574</xdr:colOff>
      <xdr:row>30</xdr:row>
      <xdr:rowOff>179916</xdr:rowOff>
    </xdr:to>
    <xdr:sp macro="" textlink="">
      <xdr:nvSpPr>
        <xdr:cNvPr id="4" name="Rechteck 3">
          <a:extLst>
            <a:ext uri="{FF2B5EF4-FFF2-40B4-BE49-F238E27FC236}">
              <a16:creationId xmlns:a16="http://schemas.microsoft.com/office/drawing/2014/main" id="{00000000-0008-0000-0100-000004000000}"/>
            </a:ext>
          </a:extLst>
        </xdr:cNvPr>
        <xdr:cNvSpPr/>
      </xdr:nvSpPr>
      <xdr:spPr>
        <a:xfrm>
          <a:off x="11141604" y="3037208"/>
          <a:ext cx="6554470" cy="22332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600" b="0">
              <a:solidFill>
                <a:srgbClr val="800000"/>
              </a:solidFill>
            </a:rPr>
            <a:t>Beim Start beachten:</a:t>
          </a:r>
        </a:p>
        <a:p>
          <a:pPr marL="285750" indent="-285750" algn="l">
            <a:spcBef>
              <a:spcPts val="600"/>
            </a:spcBef>
            <a:buFont typeface="Arial" panose="020B0604020202020204" pitchFamily="34" charset="0"/>
            <a:buChar char="•"/>
          </a:pPr>
          <a:r>
            <a:rPr lang="de-DE" sz="1600" b="0">
              <a:solidFill>
                <a:srgbClr val="800000"/>
              </a:solidFill>
            </a:rPr>
            <a:t>Zuerst muss das Kalenderjahr eingetragen werden,</a:t>
          </a:r>
          <a:r>
            <a:rPr lang="de-DE" sz="1600" b="0" baseline="0">
              <a:solidFill>
                <a:srgbClr val="800000"/>
              </a:solidFill>
            </a:rPr>
            <a:t> in dem der Berechnungsmonat liegt (Dropdownliste).</a:t>
          </a:r>
        </a:p>
        <a:p>
          <a:pPr marL="285750" indent="-285750" algn="l">
            <a:spcBef>
              <a:spcPts val="600"/>
            </a:spcBef>
            <a:buFont typeface="Arial" panose="020B0604020202020204" pitchFamily="34" charset="0"/>
            <a:buChar char="•"/>
          </a:pPr>
          <a:r>
            <a:rPr lang="de-DE" sz="1600" b="0" baseline="0">
              <a:solidFill>
                <a:srgbClr val="800000"/>
              </a:solidFill>
            </a:rPr>
            <a:t>Verändert sich während des Monats die BG oder wechselt ein Kind in eine andere Alterstufe, ist die Rechenhilfe nur unter Verwendung von Umgehungshilfen verwendbar. </a:t>
          </a:r>
        </a:p>
        <a:p>
          <a:pPr algn="l"/>
          <a:endParaRPr lang="de-DE" sz="1800" b="1">
            <a:solidFill>
              <a:srgbClr val="800000"/>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58</xdr:row>
          <xdr:rowOff>28575</xdr:rowOff>
        </xdr:from>
        <xdr:to>
          <xdr:col>7</xdr:col>
          <xdr:colOff>561975</xdr:colOff>
          <xdr:row>59</xdr:row>
          <xdr:rowOff>47625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Kontrollkästchen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404813</xdr:colOff>
          <xdr:row>2</xdr:row>
          <xdr:rowOff>31750</xdr:rowOff>
        </xdr:from>
        <xdr:to>
          <xdr:col>9</xdr:col>
          <xdr:colOff>523875</xdr:colOff>
          <xdr:row>2</xdr:row>
          <xdr:rowOff>388937</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3376613" y="793750"/>
              <a:ext cx="7341733" cy="357187"/>
              <a:chOff x="3317879" y="650875"/>
              <a:chExt cx="7334257" cy="357187"/>
            </a:xfrm>
          </xdr:grpSpPr>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4286250" y="698500"/>
                <a:ext cx="2000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5418138" y="650875"/>
                <a:ext cx="312737" cy="3571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6554788" y="703262"/>
                <a:ext cx="209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8470900" y="685800"/>
                <a:ext cx="219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9409113" y="719138"/>
                <a:ext cx="209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10433061" y="720725"/>
                <a:ext cx="219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7594601" y="698500"/>
                <a:ext cx="238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3317879" y="684213"/>
                <a:ext cx="1809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43295</xdr:colOff>
      <xdr:row>80</xdr:row>
      <xdr:rowOff>17317</xdr:rowOff>
    </xdr:from>
    <xdr:to>
      <xdr:col>26</xdr:col>
      <xdr:colOff>8660</xdr:colOff>
      <xdr:row>86</xdr:row>
      <xdr:rowOff>121226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4035136" y="12131385"/>
          <a:ext cx="7351569" cy="143740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Hinweise:</a:t>
          </a:r>
        </a:p>
        <a:p>
          <a:pPr indent="-360000" algn="l" defTabSz="360000">
            <a:tabLst>
              <a:tab pos="360000" algn="l"/>
            </a:tabLst>
          </a:pPr>
          <a:r>
            <a:rPr lang="de-DE" sz="1050" b="0">
              <a:solidFill>
                <a:schemeClr val="dk1"/>
              </a:solidFill>
              <a:effectLst/>
              <a:latin typeface="+mn-lt"/>
              <a:ea typeface="+mn-ea"/>
              <a:cs typeface="+mn-cs"/>
            </a:rPr>
            <a:t>1. 	Wenn Hilfebedürtgikeit</a:t>
          </a:r>
          <a:r>
            <a:rPr lang="de-DE" sz="1050" b="0" baseline="0">
              <a:solidFill>
                <a:schemeClr val="dk1"/>
              </a:solidFill>
              <a:effectLst/>
              <a:latin typeface="+mn-lt"/>
              <a:ea typeface="+mn-ea"/>
              <a:cs typeface="+mn-cs"/>
            </a:rPr>
            <a:t> nicht überwunden ist und </a:t>
          </a:r>
          <a:r>
            <a:rPr lang="de-DE" sz="1050" b="0">
              <a:solidFill>
                <a:schemeClr val="dk1"/>
              </a:solidFill>
              <a:effectLst/>
              <a:latin typeface="+mn-lt"/>
              <a:ea typeface="+mn-ea"/>
              <a:cs typeface="+mn-cs"/>
            </a:rPr>
            <a:t>KiZ </a:t>
          </a:r>
          <a:r>
            <a:rPr lang="de-DE" sz="1050" b="0" u="sng">
              <a:solidFill>
                <a:schemeClr val="dk1"/>
              </a:solidFill>
              <a:effectLst/>
              <a:latin typeface="+mn-lt"/>
              <a:ea typeface="+mn-ea"/>
              <a:cs typeface="+mn-cs"/>
            </a:rPr>
            <a:t>nur</a:t>
          </a:r>
          <a:r>
            <a:rPr lang="de-DE" sz="1050" b="0">
              <a:solidFill>
                <a:schemeClr val="dk1"/>
              </a:solidFill>
              <a:effectLst/>
              <a:latin typeface="+mn-lt"/>
              <a:ea typeface="+mn-ea"/>
              <a:cs typeface="+mn-cs"/>
            </a:rPr>
            <a:t> aufgrund</a:t>
          </a:r>
          <a:r>
            <a:rPr lang="de-DE" sz="1050" b="0" baseline="0">
              <a:solidFill>
                <a:schemeClr val="dk1"/>
              </a:solidFill>
              <a:effectLst/>
              <a:latin typeface="+mn-lt"/>
              <a:ea typeface="+mn-ea"/>
              <a:cs typeface="+mn-cs"/>
            </a:rPr>
            <a:t> § 6a Abs. 1a BKGG bewilligt wird, besteht 	Beratungsbedarf.</a:t>
          </a:r>
        </a:p>
        <a:p>
          <a:pPr indent="-360000" algn="l" defTabSz="360000">
            <a:tabLst>
              <a:tab pos="360000" algn="l"/>
            </a:tabLst>
          </a:pPr>
          <a:endParaRPr lang="de-DE" sz="1050" b="0" baseline="0">
            <a:solidFill>
              <a:schemeClr val="dk1"/>
            </a:solidFill>
            <a:effectLst/>
            <a:latin typeface="+mn-lt"/>
            <a:ea typeface="+mn-ea"/>
            <a:cs typeface="+mn-cs"/>
          </a:endParaRPr>
        </a:p>
        <a:p>
          <a:pPr marL="0" indent="-360000" algn="l" defTabSz="360000">
            <a:spcBef>
              <a:spcPts val="600"/>
            </a:spcBef>
            <a:tabLst>
              <a:tab pos="360000" algn="l"/>
            </a:tabLst>
          </a:pPr>
          <a:r>
            <a:rPr lang="de-DE" sz="1050" b="0" baseline="0">
              <a:solidFill>
                <a:schemeClr val="dk1"/>
              </a:solidFill>
              <a:effectLst/>
              <a:latin typeface="+mn-lt"/>
              <a:ea typeface="+mn-ea"/>
              <a:cs typeface="+mn-cs"/>
            </a:rPr>
            <a:t>2. 	Wenn SGB II-Hilfebedürftigkeit nach der Logik des BKGG (Berücksichtigung des 	Durchschnittseinkommen der letzten 6 	Monate) überwunden ist, kann dennoch im aktuellen Monat der Bedarf durch Kinderzuschlag/Wohngeld  </a:t>
          </a:r>
          <a:r>
            <a:rPr lang="de-DE" sz="1050" b="1" u="none" baseline="0">
              <a:solidFill>
                <a:schemeClr val="dk1"/>
              </a:solidFill>
              <a:effectLst/>
              <a:latin typeface="+mn-lt"/>
              <a:ea typeface="+mn-ea"/>
              <a:cs typeface="+mn-cs"/>
            </a:rPr>
            <a:t>tatsächlich 	nicht gedeckt </a:t>
          </a:r>
          <a:r>
            <a:rPr lang="de-DE" sz="1050" b="0" baseline="0">
              <a:solidFill>
                <a:schemeClr val="dk1"/>
              </a:solidFill>
              <a:effectLst/>
              <a:latin typeface="+mn-lt"/>
              <a:ea typeface="+mn-ea"/>
              <a:cs typeface="+mn-cs"/>
            </a:rPr>
            <a:t>sein. Dann besteht zwar ein KiZ-Anspruch. Die Antragstellung ist aber nicht sinnvol</a:t>
          </a:r>
          <a:r>
            <a:rPr lang="de-DE" sz="1050" b="0">
              <a:solidFill>
                <a:schemeClr val="dk1"/>
              </a:solidFill>
              <a:effectLst/>
              <a:latin typeface="+mn-lt"/>
              <a:ea typeface="+mn-ea"/>
              <a:cs typeface="+mn-cs"/>
            </a:rPr>
            <a:t>l.</a:t>
          </a:r>
        </a:p>
        <a:p>
          <a:endParaRPr lang="de-DE">
            <a:effectLst/>
          </a:endParaRPr>
        </a:p>
        <a:p>
          <a:pPr>
            <a:spcBef>
              <a:spcPts val="600"/>
            </a:spcBef>
          </a:pPr>
          <a:endParaRPr lang="de-DE" sz="1100" b="1" baseline="0">
            <a:solidFill>
              <a:schemeClr val="dk1"/>
            </a:solidFill>
            <a:effectLst/>
            <a:latin typeface="+mn-lt"/>
            <a:ea typeface="+mn-ea"/>
            <a:cs typeface="+mn-cs"/>
          </a:endParaRPr>
        </a:p>
        <a:p>
          <a:endParaRPr lang="de-DE">
            <a:effectLst/>
          </a:endParaRPr>
        </a:p>
      </xdr:txBody>
    </xdr:sp>
    <xdr:clientData/>
  </xdr:twoCellAnchor>
  <xdr:twoCellAnchor>
    <xdr:from>
      <xdr:col>0</xdr:col>
      <xdr:colOff>19144</xdr:colOff>
      <xdr:row>114</xdr:row>
      <xdr:rowOff>163432</xdr:rowOff>
    </xdr:from>
    <xdr:to>
      <xdr:col>8</xdr:col>
      <xdr:colOff>1086273</xdr:colOff>
      <xdr:row>132</xdr:row>
      <xdr:rowOff>155623</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19144" y="14137167"/>
          <a:ext cx="11673497" cy="3219485"/>
        </a:xfrm>
        <a:prstGeom prst="rect">
          <a:avLst/>
        </a:prstGeom>
        <a:solidFill>
          <a:sysClr val="window" lastClr="FFFFFF">
            <a:lumMod val="95000"/>
          </a:sys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200" b="1">
              <a:effectLst/>
              <a:latin typeface="+mn-lt"/>
              <a:ea typeface="+mn-ea"/>
              <a:cs typeface="+mn-cs"/>
            </a:rPr>
            <a:t>Hinweis zu der Besonderheit bei der Anrechnung von »überschießendem Kindergeld«</a:t>
          </a:r>
          <a:r>
            <a:rPr lang="de-DE" sz="1200" b="1" baseline="0">
              <a:effectLst/>
              <a:latin typeface="+mn-lt"/>
              <a:ea typeface="+mn-ea"/>
              <a:cs typeface="+mn-cs"/>
            </a:rPr>
            <a:t> im Rahmen der Ermittlung des durchschinttlichen Elterneinkommens</a:t>
          </a:r>
          <a:r>
            <a:rPr lang="de-DE" sz="1200" b="1">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de-DE" sz="12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1">
              <a:effectLst/>
              <a:latin typeface="+mn-lt"/>
              <a:ea typeface="+mn-ea"/>
              <a:cs typeface="+mn-cs"/>
            </a:rPr>
            <a:t>»Überschießendes</a:t>
          </a:r>
          <a:r>
            <a:rPr lang="de-DE" sz="1100" b="1" baseline="0">
              <a:effectLst/>
              <a:latin typeface="+mn-lt"/>
              <a:ea typeface="+mn-ea"/>
              <a:cs typeface="+mn-cs"/>
            </a:rPr>
            <a:t> Kindergeld</a:t>
          </a:r>
          <a:r>
            <a:rPr lang="de-DE" sz="1100" b="1">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das vom Kind nicht für den eigenen Lebensunterhalt benötigt, kommt bei der Einkommensberechnung der Eltern (Durchschnittsberechnung der letzten 6 Monate) wegen der 45%-Regelung selten vor. </a:t>
          </a:r>
          <a:r>
            <a:rPr kumimoji="0" lang="de-DE" sz="1100" b="1" i="0" u="sng" strike="noStrike" kern="0" cap="none" spc="0" normalizeH="0" baseline="0" noProof="0">
              <a:ln>
                <a:noFill/>
              </a:ln>
              <a:solidFill>
                <a:sysClr val="windowText" lastClr="000000"/>
              </a:solidFill>
              <a:effectLst/>
              <a:uLnTx/>
              <a:uFillTx/>
              <a:latin typeface="Calibri" panose="020F0502020204030204"/>
              <a:ea typeface="+mn-ea"/>
              <a:cs typeface="+mn-cs"/>
            </a:rPr>
            <a:t>Aufgrund der 45%-Regelung weicht die KiZ-Anrechnung von überschießendem Kindergeld deutlich von der Berechnung des SGB II ab (siehe Beispiel unten).</a:t>
          </a: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 Sollte das aufgrund eines sehr hohen Kindeseinkommen doch der Fall sein, ist dieses überschießende Kindergeld bei den Eltern als sonstiges Einkommen einzutragen.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Aus der DA-KiZ (Beispiel aktualisiert; Seite 32):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Kindergeld (sowohl nach dem BKGG als auch nach dem EStG) für zur BG gehörende Kinder ist nach § 11 Absatz 1 SGB II dem Kind als Einkommen zuzuordnen, soweit es für die Sicherung des Lebensunterhaltes benötigt wird. Bezieht das unter 25 Jahre alte Kind eigenes Einkommen</a:t>
          </a:r>
          <a:r>
            <a:rPr kumimoji="0" lang="de-DE" sz="1100" b="1" i="0" u="none" strike="noStrike" kern="0" cap="none" spc="0" normalizeH="0" baseline="0" noProof="0">
              <a:ln>
                <a:noFill/>
              </a:ln>
              <a:solidFill>
                <a:sysClr val="windowText" lastClr="000000"/>
              </a:solidFill>
              <a:effectLst/>
              <a:uLnTx/>
              <a:uFillTx/>
              <a:latin typeface="Calibri" panose="020F0502020204030204"/>
              <a:ea typeface="+mn-ea"/>
              <a:cs typeface="+mn-cs"/>
            </a:rPr>
            <a:t>, wird das Kindergeld als Einkommen der Eltern berücksichtigt, sofern es zusammen </a:t>
          </a:r>
          <a:r>
            <a:rPr kumimoji="0" lang="de-DE" sz="1200" b="1" i="0" u="sng" strike="noStrike" kern="0" cap="none" spc="0" normalizeH="0" baseline="0" noProof="0">
              <a:ln>
                <a:noFill/>
              </a:ln>
              <a:solidFill>
                <a:srgbClr val="800000"/>
              </a:solidFill>
              <a:effectLst/>
              <a:uLnTx/>
              <a:uFillTx/>
              <a:latin typeface="Calibri" panose="020F0502020204030204"/>
              <a:ea typeface="+mn-ea"/>
              <a:cs typeface="+mn-cs"/>
            </a:rPr>
            <a:t>mit 45 Prozent des Kindeseinkommens</a:t>
          </a:r>
          <a:r>
            <a:rPr kumimoji="0" lang="de-DE" sz="1100" b="1" i="0" u="none" strike="noStrike" kern="0" cap="none" spc="0" normalizeH="0" baseline="0" noProof="0">
              <a:ln>
                <a:noFill/>
              </a:ln>
              <a:solidFill>
                <a:srgbClr val="800000"/>
              </a:solidFill>
              <a:effectLst/>
              <a:uLnTx/>
              <a:uFillTx/>
              <a:latin typeface="Calibri" panose="020F0502020204030204"/>
              <a:ea typeface="+mn-ea"/>
              <a:cs typeface="+mn-cs"/>
            </a:rPr>
            <a:t> </a:t>
          </a:r>
          <a:r>
            <a:rPr kumimoji="0" lang="de-DE" sz="1100" b="1" i="0" u="none" strike="noStrike" kern="0" cap="none" spc="0" normalizeH="0" baseline="0" noProof="0">
              <a:ln>
                <a:noFill/>
              </a:ln>
              <a:solidFill>
                <a:sysClr val="windowText" lastClr="000000"/>
              </a:solidFill>
              <a:effectLst/>
              <a:uLnTx/>
              <a:uFillTx/>
              <a:latin typeface="Calibri" panose="020F0502020204030204"/>
              <a:ea typeface="+mn-ea"/>
              <a:cs typeface="+mn-cs"/>
            </a:rPr>
            <a:t>nicht für den Bedarf des Kindes benötigt wird</a:t>
          </a: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 Das vom Kind selbst erzielte Einkommen wird nicht als Einkommen der Eltern berücksichtigt.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Calibri" panose="020F0502020204030204"/>
              <a:ea typeface="+mn-ea"/>
              <a:cs typeface="+mn-cs"/>
            </a:rPr>
            <a:t>Beispiel: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Ein Kind, 19 Jahre, erhält eine sehr hohe Ausbildungsvergütung von 1.100 EUR (netto), davon sind nach Abzug der Absetzungsbeträge  800 Euro als Einkommen zu berücksichtigen.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SGB II-Bedarf (357 EUR RL + 220 EUR BdU) = 587 EUR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Auf den Bedarf anzurechnendes Einkommen (45% von 800 Euro) = 360 EUR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Ungedeckter Restbedarf 587 EUR minus 360 EUR = 217 EUR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Kindergeld 219 EUR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Den Bedarf übersteigendes Kindergeld 2 EUR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EUR Kindergeld sind bei den Eltern als sonstiges Einkommen zu berücksichtigen. Diese Fallkonstellation tritt nur selten ein.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26</xdr:col>
      <xdr:colOff>52997</xdr:colOff>
      <xdr:row>0</xdr:row>
      <xdr:rowOff>0</xdr:rowOff>
    </xdr:from>
    <xdr:to>
      <xdr:col>34</xdr:col>
      <xdr:colOff>713561</xdr:colOff>
      <xdr:row>19</xdr:row>
      <xdr:rowOff>339523</xdr:rowOff>
    </xdr:to>
    <xdr:sp macro="" textlink="">
      <xdr:nvSpPr>
        <xdr:cNvPr id="4" name="Rechteck 3">
          <a:extLst>
            <a:ext uri="{FF2B5EF4-FFF2-40B4-BE49-F238E27FC236}">
              <a16:creationId xmlns:a16="http://schemas.microsoft.com/office/drawing/2014/main" id="{00000000-0008-0000-0200-000004000000}"/>
            </a:ext>
          </a:extLst>
        </xdr:cNvPr>
        <xdr:cNvSpPr/>
      </xdr:nvSpPr>
      <xdr:spPr>
        <a:xfrm>
          <a:off x="11475060" y="0"/>
          <a:ext cx="6716876" cy="299064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b="0">
              <a:solidFill>
                <a:srgbClr val="800000"/>
              </a:solidFill>
            </a:rPr>
            <a:t>Beim Start beachten:</a:t>
          </a:r>
        </a:p>
        <a:p>
          <a:pPr marL="285750" indent="-285750" algn="l">
            <a:spcBef>
              <a:spcPts val="600"/>
            </a:spcBef>
            <a:buFont typeface="Arial" panose="020B0604020202020204" pitchFamily="34" charset="0"/>
            <a:buChar char="•"/>
          </a:pPr>
          <a:r>
            <a:rPr lang="de-DE" sz="1200" b="0">
              <a:solidFill>
                <a:srgbClr val="800000"/>
              </a:solidFill>
            </a:rPr>
            <a:t>Zuerst muss das Tabellenblatt "SGB II Paare</a:t>
          </a:r>
          <a:r>
            <a:rPr lang="de-DE" sz="1200" b="0" baseline="0">
              <a:solidFill>
                <a:srgbClr val="800000"/>
              </a:solidFill>
            </a:rPr>
            <a:t> mit und ohne Kinder</a:t>
          </a:r>
          <a:r>
            <a:rPr lang="de-DE" sz="1200" b="0">
              <a:solidFill>
                <a:srgbClr val="800000"/>
              </a:solidFill>
            </a:rPr>
            <a:t>" ausgefüllt werden.</a:t>
          </a:r>
          <a:endParaRPr lang="de-DE" sz="1200" b="0" baseline="0">
            <a:solidFill>
              <a:srgbClr val="800000"/>
            </a:solidFill>
          </a:endParaRPr>
        </a:p>
        <a:p>
          <a:pPr marL="285750" indent="-285750" algn="l">
            <a:spcBef>
              <a:spcPts val="600"/>
            </a:spcBef>
            <a:buFont typeface="Arial" panose="020B0604020202020204" pitchFamily="34" charset="0"/>
            <a:buChar char="•"/>
          </a:pPr>
          <a:r>
            <a:rPr lang="de-DE" sz="1200" b="1" u="sng" baseline="0">
              <a:solidFill>
                <a:srgbClr val="800000"/>
              </a:solidFill>
            </a:rPr>
            <a:t>Kinderzuschlag gibt es nur für Kinder, für die Kindergeld bezogen wird. </a:t>
          </a:r>
          <a:r>
            <a:rPr lang="de-DE" sz="1200" b="0" baseline="0">
              <a:solidFill>
                <a:srgbClr val="800000"/>
              </a:solidFill>
            </a:rPr>
            <a:t>Daher muss zwingend das Kindergeld im Tabellenblatt "SGB II Paare mit und ohne Kinder" eingetragen sein.</a:t>
          </a:r>
        </a:p>
        <a:p>
          <a:pPr marL="285750" indent="-285750" algn="l">
            <a:spcBef>
              <a:spcPts val="600"/>
            </a:spcBef>
            <a:buFont typeface="Arial" panose="020B0604020202020204" pitchFamily="34" charset="0"/>
            <a:buChar char="•"/>
          </a:pPr>
          <a:r>
            <a:rPr lang="de-DE" sz="1200" b="1" baseline="0">
              <a:solidFill>
                <a:srgbClr val="800000"/>
              </a:solidFill>
            </a:rPr>
            <a:t>Nur zur Information: </a:t>
          </a:r>
          <a:r>
            <a:rPr lang="de-DE" sz="1200" b="0" baseline="0">
              <a:solidFill>
                <a:srgbClr val="800000"/>
              </a:solidFill>
            </a:rPr>
            <a:t>Wenn Kinder mit Kindergeld im Sinne des BKGG (Anrechnung von Kindereinkommen nur zu 45%, daher eher selten) nicht bedürftig sind, berücksichtigt die Rechenhilfe nur die Bedarfsgemeinschaft ohne die Kinder (auch Unterkunftsbedarfe der Eltern werden entsprechend der BG-Größe berechnet).</a:t>
          </a:r>
        </a:p>
        <a:p>
          <a:pPr marL="285750" indent="-285750" algn="l">
            <a:spcBef>
              <a:spcPts val="600"/>
            </a:spcBef>
            <a:buFont typeface="Arial" panose="020B0604020202020204" pitchFamily="34" charset="0"/>
            <a:buChar char="•"/>
          </a:pPr>
          <a:endParaRPr lang="de-DE" sz="1400" b="0" baseline="0">
            <a:solidFill>
              <a:srgbClr val="800000"/>
            </a:solidFill>
          </a:endParaRPr>
        </a:p>
        <a:p>
          <a:pPr algn="l"/>
          <a:endParaRPr lang="de-DE" sz="1600" b="1">
            <a:solidFill>
              <a:srgbClr val="800000"/>
            </a:solidFill>
          </a:endParaRPr>
        </a:p>
      </xdr:txBody>
    </xdr:sp>
    <xdr:clientData/>
  </xdr:twoCellAnchor>
  <xdr:twoCellAnchor>
    <xdr:from>
      <xdr:col>2</xdr:col>
      <xdr:colOff>96986</xdr:colOff>
      <xdr:row>10</xdr:row>
      <xdr:rowOff>93586</xdr:rowOff>
    </xdr:from>
    <xdr:to>
      <xdr:col>6</xdr:col>
      <xdr:colOff>182245</xdr:colOff>
      <xdr:row>12</xdr:row>
      <xdr:rowOff>232172</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4270127" y="1748555"/>
          <a:ext cx="4419134" cy="52553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aseline="0"/>
            <a:t>Vor Nutzung des Tabellenblatts, muss die Tabelle "SGB II Paare mit und ohne Kinder" ausgefüllt werden. </a:t>
          </a:r>
          <a:endParaRPr lang="de-DE" sz="1200"/>
        </a:p>
      </xdr:txBody>
    </xdr:sp>
    <xdr:clientData/>
  </xdr:twoCellAnchor>
  <xdr:twoCellAnchor>
    <xdr:from>
      <xdr:col>9</xdr:col>
      <xdr:colOff>17318</xdr:colOff>
      <xdr:row>27</xdr:row>
      <xdr:rowOff>98860</xdr:rowOff>
    </xdr:from>
    <xdr:to>
      <xdr:col>15</xdr:col>
      <xdr:colOff>711761</xdr:colOff>
      <xdr:row>30</xdr:row>
      <xdr:rowOff>173182</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11455977" y="4151315"/>
          <a:ext cx="5621466" cy="836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Zelle M25</a:t>
          </a:r>
          <a:r>
            <a:rPr lang="de-DE" sz="1100" baseline="0"/>
            <a:t> </a:t>
          </a:r>
          <a:r>
            <a:rPr lang="de-DE" sz="1100"/>
            <a:t>berechnet, dass Kinder dann zur BG im Sinne des KiZ </a:t>
          </a:r>
          <a:r>
            <a:rPr lang="de-DE" sz="1100" b="1" u="sng"/>
            <a:t>bedarfsmäßig</a:t>
          </a:r>
          <a:r>
            <a:rPr lang="de-DE" sz="1100"/>
            <a:t>  gehöre, wenn Sie entweder im Bedarfsmonat im Sinne des SGB II bedürftig sind (ohne Kindergeldbezug</a:t>
          </a:r>
          <a:r>
            <a:rPr lang="de-DE" sz="1100" baseline="0"/>
            <a:t> siehe C66 ins SGB II), oder Kindergeld "beziehen" und im Sinne der KiZ-BG bedürftig sind (siehe Z 46): der addierte Wert steht dann in Z48!!!!</a:t>
          </a:r>
          <a:endParaRPr lang="de-DE" sz="1100"/>
        </a:p>
      </xdr:txBody>
    </xdr:sp>
    <xdr:clientData/>
  </xdr:twoCellAnchor>
  <xdr:twoCellAnchor>
    <xdr:from>
      <xdr:col>7</xdr:col>
      <xdr:colOff>74107</xdr:colOff>
      <xdr:row>33</xdr:row>
      <xdr:rowOff>62765</xdr:rowOff>
    </xdr:from>
    <xdr:to>
      <xdr:col>33</xdr:col>
      <xdr:colOff>591916</xdr:colOff>
      <xdr:row>59</xdr:row>
      <xdr:rowOff>70885</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9450940" y="5428515"/>
          <a:ext cx="7883809" cy="56913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419100</xdr:colOff>
          <xdr:row>19</xdr:row>
          <xdr:rowOff>66675</xdr:rowOff>
        </xdr:from>
        <xdr:to>
          <xdr:col>1</xdr:col>
          <xdr:colOff>695325</xdr:colOff>
          <xdr:row>19</xdr:row>
          <xdr:rowOff>333375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104775</xdr:rowOff>
        </xdr:from>
        <xdr:to>
          <xdr:col>3</xdr:col>
          <xdr:colOff>619125</xdr:colOff>
          <xdr:row>19</xdr:row>
          <xdr:rowOff>304800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19</xdr:row>
          <xdr:rowOff>85725</xdr:rowOff>
        </xdr:from>
        <xdr:to>
          <xdr:col>2</xdr:col>
          <xdr:colOff>771525</xdr:colOff>
          <xdr:row>19</xdr:row>
          <xdr:rowOff>304800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19</xdr:row>
          <xdr:rowOff>66675</xdr:rowOff>
        </xdr:from>
        <xdr:to>
          <xdr:col>4</xdr:col>
          <xdr:colOff>904875</xdr:colOff>
          <xdr:row>19</xdr:row>
          <xdr:rowOff>333375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19</xdr:row>
          <xdr:rowOff>76200</xdr:rowOff>
        </xdr:from>
        <xdr:to>
          <xdr:col>5</xdr:col>
          <xdr:colOff>762000</xdr:colOff>
          <xdr:row>19</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19</xdr:row>
          <xdr:rowOff>85725</xdr:rowOff>
        </xdr:from>
        <xdr:to>
          <xdr:col>6</xdr:col>
          <xdr:colOff>838200</xdr:colOff>
          <xdr:row>19</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33</xdr:row>
          <xdr:rowOff>104775</xdr:rowOff>
        </xdr:from>
        <xdr:to>
          <xdr:col>1</xdr:col>
          <xdr:colOff>619125</xdr:colOff>
          <xdr:row>33</xdr:row>
          <xdr:rowOff>333375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33</xdr:row>
          <xdr:rowOff>114300</xdr:rowOff>
        </xdr:from>
        <xdr:to>
          <xdr:col>2</xdr:col>
          <xdr:colOff>638175</xdr:colOff>
          <xdr:row>33</xdr:row>
          <xdr:rowOff>342900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104775</xdr:rowOff>
        </xdr:from>
        <xdr:to>
          <xdr:col>3</xdr:col>
          <xdr:colOff>619125</xdr:colOff>
          <xdr:row>33</xdr:row>
          <xdr:rowOff>333375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33</xdr:row>
          <xdr:rowOff>104775</xdr:rowOff>
        </xdr:from>
        <xdr:to>
          <xdr:col>4</xdr:col>
          <xdr:colOff>676275</xdr:colOff>
          <xdr:row>33</xdr:row>
          <xdr:rowOff>333375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33</xdr:row>
          <xdr:rowOff>104775</xdr:rowOff>
        </xdr:from>
        <xdr:to>
          <xdr:col>5</xdr:col>
          <xdr:colOff>800100</xdr:colOff>
          <xdr:row>33</xdr:row>
          <xdr:rowOff>333375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33</xdr:row>
          <xdr:rowOff>114300</xdr:rowOff>
        </xdr:from>
        <xdr:to>
          <xdr:col>6</xdr:col>
          <xdr:colOff>685800</xdr:colOff>
          <xdr:row>33</xdr:row>
          <xdr:rowOff>342900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21983</xdr:colOff>
      <xdr:row>0</xdr:row>
      <xdr:rowOff>0</xdr:rowOff>
    </xdr:from>
    <xdr:to>
      <xdr:col>7</xdr:col>
      <xdr:colOff>527540</xdr:colOff>
      <xdr:row>1</xdr:row>
      <xdr:rowOff>168520</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4073771" y="0"/>
          <a:ext cx="5824904" cy="410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i="0">
              <a:solidFill>
                <a:schemeClr val="accent6">
                  <a:lumMod val="50000"/>
                </a:schemeClr>
              </a:solidFill>
            </a:rPr>
            <a:t>Eingabe nur</a:t>
          </a:r>
          <a:r>
            <a:rPr lang="de-DE" sz="2000" b="1" i="0" baseline="0">
              <a:solidFill>
                <a:schemeClr val="accent6">
                  <a:lumMod val="50000"/>
                </a:schemeClr>
              </a:solidFill>
            </a:rPr>
            <a:t> in grüne Felder möglich!</a:t>
          </a:r>
          <a:endParaRPr lang="de-DE" sz="2400" b="1" i="0">
            <a:solidFill>
              <a:schemeClr val="accent6">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695325</xdr:colOff>
          <xdr:row>1</xdr:row>
          <xdr:rowOff>47625</xdr:rowOff>
        </xdr:from>
        <xdr:to>
          <xdr:col>2</xdr:col>
          <xdr:colOff>885825</xdr:colOff>
          <xdr:row>1</xdr:row>
          <xdr:rowOff>228600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xdr:row>
          <xdr:rowOff>47625</xdr:rowOff>
        </xdr:from>
        <xdr:to>
          <xdr:col>3</xdr:col>
          <xdr:colOff>885825</xdr:colOff>
          <xdr:row>1</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0</xdr:row>
      <xdr:rowOff>0</xdr:rowOff>
    </xdr:from>
    <xdr:to>
      <xdr:col>8</xdr:col>
      <xdr:colOff>536287</xdr:colOff>
      <xdr:row>0</xdr:row>
      <xdr:rowOff>209550</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0"/>
          <a:ext cx="10087264" cy="209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rgbClr val="800000"/>
              </a:solidFill>
            </a:rPr>
            <a:t>Um</a:t>
          </a:r>
          <a:r>
            <a:rPr lang="de-DE" sz="1100" b="1" baseline="0">
              <a:solidFill>
                <a:srgbClr val="800000"/>
              </a:solidFill>
            </a:rPr>
            <a:t> immer die aktualisierte Version zu erhalten, schreiben Sie bitte eine E-Mail mit Betreff "Excel-Rechenhilfe" an bernd.eckhardt@sozialrecht-justament.de</a:t>
          </a:r>
          <a:endParaRPr lang="de-DE" sz="1100" b="1">
            <a:solidFill>
              <a:srgbClr val="8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447675</xdr:colOff>
          <xdr:row>5</xdr:row>
          <xdr:rowOff>47625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30</xdr:col>
      <xdr:colOff>49278</xdr:colOff>
      <xdr:row>22</xdr:row>
      <xdr:rowOff>152399</xdr:rowOff>
    </xdr:from>
    <xdr:to>
      <xdr:col>39</xdr:col>
      <xdr:colOff>13855</xdr:colOff>
      <xdr:row>44</xdr:row>
      <xdr:rowOff>54516</xdr:rowOff>
    </xdr:to>
    <xdr:sp macro="" textlink="">
      <xdr:nvSpPr>
        <xdr:cNvPr id="4" name="Rechteck 3">
          <a:extLst>
            <a:ext uri="{FF2B5EF4-FFF2-40B4-BE49-F238E27FC236}">
              <a16:creationId xmlns:a16="http://schemas.microsoft.com/office/drawing/2014/main" id="{00000000-0008-0000-0300-000004000000}"/>
            </a:ext>
          </a:extLst>
        </xdr:cNvPr>
        <xdr:cNvSpPr/>
      </xdr:nvSpPr>
      <xdr:spPr>
        <a:xfrm>
          <a:off x="12968642" y="3041072"/>
          <a:ext cx="9053158" cy="344195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600" b="0">
              <a:solidFill>
                <a:srgbClr val="800000"/>
              </a:solidFill>
            </a:rPr>
            <a:t>Beim Start beachten:</a:t>
          </a:r>
        </a:p>
        <a:p>
          <a:pPr marL="285750" indent="-285750" algn="l">
            <a:spcBef>
              <a:spcPts val="600"/>
            </a:spcBef>
            <a:buFont typeface="Arial" panose="020B0604020202020204" pitchFamily="34" charset="0"/>
            <a:buChar char="•"/>
          </a:pPr>
          <a:r>
            <a:rPr lang="de-DE" sz="1600" b="0">
              <a:solidFill>
                <a:srgbClr val="800000"/>
              </a:solidFill>
            </a:rPr>
            <a:t>Zuerst muss das Kalenderjahr eingetragen werden,</a:t>
          </a:r>
          <a:r>
            <a:rPr lang="de-DE" sz="1600" b="0" baseline="0">
              <a:solidFill>
                <a:srgbClr val="800000"/>
              </a:solidFill>
            </a:rPr>
            <a:t> in dem der Berechnungsmonat liegt (Dropdownliste).</a:t>
          </a:r>
        </a:p>
        <a:p>
          <a:pPr marL="285750" indent="-285750" algn="l">
            <a:spcBef>
              <a:spcPts val="600"/>
            </a:spcBef>
            <a:buFont typeface="Arial" panose="020B0604020202020204" pitchFamily="34" charset="0"/>
            <a:buChar char="•"/>
          </a:pPr>
          <a:r>
            <a:rPr lang="de-DE" sz="1600" b="0" baseline="0">
              <a:solidFill>
                <a:srgbClr val="800000"/>
              </a:solidFill>
            </a:rPr>
            <a:t>Verändert sich während des Monats die BG oder wechselt ein Kind in eine andere Alterstufe, ist die Rechenhilfe nur unter Verwendung von Umgehungshilfen (siehe Tabelle "Hilfe RBS-Wechsel") verwendbar. </a:t>
          </a:r>
        </a:p>
        <a:p>
          <a:pPr algn="l"/>
          <a:endParaRPr lang="de-DE" sz="1800" b="1">
            <a:solidFill>
              <a:srgbClr val="8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695325</xdr:colOff>
          <xdr:row>1</xdr:row>
          <xdr:rowOff>47625</xdr:rowOff>
        </xdr:from>
        <xdr:to>
          <xdr:col>2</xdr:col>
          <xdr:colOff>885825</xdr:colOff>
          <xdr:row>1</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xdr:row>
          <xdr:rowOff>47625</xdr:rowOff>
        </xdr:from>
        <xdr:to>
          <xdr:col>3</xdr:col>
          <xdr:colOff>885825</xdr:colOff>
          <xdr:row>1</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0</xdr:row>
      <xdr:rowOff>0</xdr:rowOff>
    </xdr:from>
    <xdr:to>
      <xdr:col>8</xdr:col>
      <xdr:colOff>536287</xdr:colOff>
      <xdr:row>0</xdr:row>
      <xdr:rowOff>209550</xdr:rowOff>
    </xdr:to>
    <xdr:sp macro="" textlink="">
      <xdr:nvSpPr>
        <xdr:cNvPr id="5" name="Textfeld 4">
          <a:extLst>
            <a:ext uri="{FF2B5EF4-FFF2-40B4-BE49-F238E27FC236}">
              <a16:creationId xmlns:a16="http://schemas.microsoft.com/office/drawing/2014/main" id="{00000000-0008-0000-0300-000005000000}"/>
            </a:ext>
          </a:extLst>
        </xdr:cNvPr>
        <xdr:cNvSpPr txBox="1"/>
      </xdr:nvSpPr>
      <xdr:spPr>
        <a:xfrm>
          <a:off x="0" y="0"/>
          <a:ext cx="10543887" cy="209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rgbClr val="800000"/>
              </a:solidFill>
            </a:rPr>
            <a:t>Um</a:t>
          </a:r>
          <a:r>
            <a:rPr lang="de-DE" sz="1100" b="1" baseline="0">
              <a:solidFill>
                <a:srgbClr val="800000"/>
              </a:solidFill>
            </a:rPr>
            <a:t> immer die aktualisierte Version zu erhalten, schreiben Sie bitte eine E-Mail mit Betreff "Excel-Rechenhilfe" an bernd.eckhardt@sozialrecht-justament.de</a:t>
          </a:r>
          <a:endParaRPr lang="de-DE" sz="1100" b="1">
            <a:solidFill>
              <a:srgbClr val="8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609600</xdr:colOff>
          <xdr:row>53</xdr:row>
          <xdr:rowOff>9525</xdr:rowOff>
        </xdr:from>
        <xdr:to>
          <xdr:col>3</xdr:col>
          <xdr:colOff>866775</xdr:colOff>
          <xdr:row>54</xdr:row>
          <xdr:rowOff>28575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xdr:row>
          <xdr:rowOff>76200</xdr:rowOff>
        </xdr:from>
        <xdr:to>
          <xdr:col>2</xdr:col>
          <xdr:colOff>533400</xdr:colOff>
          <xdr:row>2</xdr:row>
          <xdr:rowOff>200025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xdr:row>
          <xdr:rowOff>47625</xdr:rowOff>
        </xdr:from>
        <xdr:to>
          <xdr:col>3</xdr:col>
          <xdr:colOff>495300</xdr:colOff>
          <xdr:row>2</xdr:row>
          <xdr:rowOff>238125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xdr:row>
          <xdr:rowOff>66675</xdr:rowOff>
        </xdr:from>
        <xdr:to>
          <xdr:col>4</xdr:col>
          <xdr:colOff>638175</xdr:colOff>
          <xdr:row>2</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xdr:row>
          <xdr:rowOff>38100</xdr:rowOff>
        </xdr:from>
        <xdr:to>
          <xdr:col>5</xdr:col>
          <xdr:colOff>733425</xdr:colOff>
          <xdr:row>2</xdr:row>
          <xdr:rowOff>238125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xdr:row>
          <xdr:rowOff>47625</xdr:rowOff>
        </xdr:from>
        <xdr:to>
          <xdr:col>6</xdr:col>
          <xdr:colOff>638175</xdr:colOff>
          <xdr:row>2</xdr:row>
          <xdr:rowOff>257175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xdr:row>
          <xdr:rowOff>47625</xdr:rowOff>
        </xdr:from>
        <xdr:to>
          <xdr:col>7</xdr:col>
          <xdr:colOff>561975</xdr:colOff>
          <xdr:row>2</xdr:row>
          <xdr:rowOff>266700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xdr:row>
          <xdr:rowOff>66675</xdr:rowOff>
        </xdr:from>
        <xdr:to>
          <xdr:col>8</xdr:col>
          <xdr:colOff>466725</xdr:colOff>
          <xdr:row>2</xdr:row>
          <xdr:rowOff>257175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xdr:row>
          <xdr:rowOff>85725</xdr:rowOff>
        </xdr:from>
        <xdr:to>
          <xdr:col>9</xdr:col>
          <xdr:colOff>600075</xdr:colOff>
          <xdr:row>2</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xdr:row>
          <xdr:rowOff>47625</xdr:rowOff>
        </xdr:from>
        <xdr:to>
          <xdr:col>10</xdr:col>
          <xdr:colOff>647700</xdr:colOff>
          <xdr:row>2</xdr:row>
          <xdr:rowOff>257175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74295</xdr:colOff>
      <xdr:row>0</xdr:row>
      <xdr:rowOff>68580</xdr:rowOff>
    </xdr:from>
    <xdr:to>
      <xdr:col>41</xdr:col>
      <xdr:colOff>499744</xdr:colOff>
      <xdr:row>2</xdr:row>
      <xdr:rowOff>278379</xdr:rowOff>
    </xdr:to>
    <xdr:sp macro="" textlink="">
      <xdr:nvSpPr>
        <xdr:cNvPr id="6" name="Rechteck 5">
          <a:extLst>
            <a:ext uri="{FF2B5EF4-FFF2-40B4-BE49-F238E27FC236}">
              <a16:creationId xmlns:a16="http://schemas.microsoft.com/office/drawing/2014/main" id="{00000000-0008-0000-0300-000006000000}"/>
            </a:ext>
          </a:extLst>
        </xdr:cNvPr>
        <xdr:cNvSpPr/>
      </xdr:nvSpPr>
      <xdr:spPr>
        <a:xfrm>
          <a:off x="12974955" y="68580"/>
          <a:ext cx="11093449" cy="118515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xdr:row>
          <xdr:rowOff>142875</xdr:rowOff>
        </xdr:from>
        <xdr:to>
          <xdr:col>1</xdr:col>
          <xdr:colOff>542925</xdr:colOff>
          <xdr:row>3</xdr:row>
          <xdr:rowOff>47625</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4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xdr:row>
          <xdr:rowOff>104775</xdr:rowOff>
        </xdr:from>
        <xdr:to>
          <xdr:col>2</xdr:col>
          <xdr:colOff>600075</xdr:colOff>
          <xdr:row>4</xdr:row>
          <xdr:rowOff>28575</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4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xdr:row>
          <xdr:rowOff>142875</xdr:rowOff>
        </xdr:from>
        <xdr:to>
          <xdr:col>3</xdr:col>
          <xdr:colOff>733425</xdr:colOff>
          <xdr:row>3</xdr:row>
          <xdr:rowOff>47625</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4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xdr:row>
          <xdr:rowOff>180975</xdr:rowOff>
        </xdr:from>
        <xdr:to>
          <xdr:col>4</xdr:col>
          <xdr:colOff>600075</xdr:colOff>
          <xdr:row>3</xdr:row>
          <xdr:rowOff>28575</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4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xdr:row>
          <xdr:rowOff>180975</xdr:rowOff>
        </xdr:from>
        <xdr:to>
          <xdr:col>5</xdr:col>
          <xdr:colOff>581025</xdr:colOff>
          <xdr:row>3</xdr:row>
          <xdr:rowOff>9525</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4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xdr:row>
          <xdr:rowOff>180975</xdr:rowOff>
        </xdr:from>
        <xdr:to>
          <xdr:col>6</xdr:col>
          <xdr:colOff>533400</xdr:colOff>
          <xdr:row>3</xdr:row>
          <xdr:rowOff>28575</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4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395</xdr:rowOff>
    </xdr:from>
    <xdr:to>
      <xdr:col>5</xdr:col>
      <xdr:colOff>1103312</xdr:colOff>
      <xdr:row>6</xdr:row>
      <xdr:rowOff>103187</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0" y="182958"/>
          <a:ext cx="9961562" cy="13489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a:t>Berechnung</a:t>
          </a:r>
          <a:r>
            <a:rPr lang="de-DE" sz="1600" b="1" baseline="0"/>
            <a:t> der Bedarfsänderung bei Wechsel der Regelbedarfstufe innerhalb eines Kalendermonats </a:t>
          </a:r>
        </a:p>
        <a:p>
          <a:r>
            <a:rPr lang="de-DE" sz="1200" b="0" u="sng" baseline="0"/>
            <a:t>Die Altersangabe in der SGB II-Tabelle erfolgt stets in Jahren. Hier ist immer das Alter </a:t>
          </a:r>
          <a:r>
            <a:rPr lang="de-DE" sz="1200" b="1" u="sng" baseline="0"/>
            <a:t>vor</a:t>
          </a:r>
          <a:r>
            <a:rPr lang="de-DE" sz="1200" b="0" u="sng" baseline="0"/>
            <a:t> dem Geburtag einzutragen.</a:t>
          </a:r>
        </a:p>
        <a:p>
          <a:r>
            <a:rPr lang="de-DE" sz="1200" b="0"/>
            <a:t>Angaben nur in grüne</a:t>
          </a:r>
          <a:r>
            <a:rPr lang="de-DE" sz="1200" b="0" baseline="0"/>
            <a:t> Felder eingeben! Regelbedarfsstufe aus Liste auswählen (Feld anklicken und dann Drop-Down-Liste öffnen) Die Hlifstabelle unterstützt Berechnungen ab 2021</a:t>
          </a:r>
        </a:p>
        <a:p>
          <a:pPr marL="0" marR="0" lvl="0" indent="0" defTabSz="914400" eaLnBrk="1" fontAlgn="auto" latinLnBrk="0" hangingPunct="1">
            <a:lnSpc>
              <a:spcPct val="100000"/>
            </a:lnSpc>
            <a:spcBef>
              <a:spcPts val="0"/>
            </a:spcBef>
            <a:spcAft>
              <a:spcPts val="0"/>
            </a:spcAft>
            <a:buClrTx/>
            <a:buSzTx/>
            <a:buFontTx/>
            <a:buNone/>
            <a:tabLst/>
            <a:defRPr/>
          </a:pPr>
          <a:r>
            <a:rPr lang="de-DE" sz="1200" b="1" u="sng" baseline="0">
              <a:solidFill>
                <a:srgbClr val="800000"/>
              </a:solidFill>
              <a:effectLst/>
              <a:latin typeface="+mn-lt"/>
              <a:ea typeface="+mn-ea"/>
              <a:cs typeface="+mn-cs"/>
            </a:rPr>
            <a:t>Das Ergebnis muss als Mehrbedarf eingetragen werden</a:t>
          </a:r>
          <a:r>
            <a:rPr lang="de-DE" sz="1200" b="0" baseline="0">
              <a:solidFill>
                <a:schemeClr val="dk1"/>
              </a:solidFill>
              <a:effectLst/>
              <a:latin typeface="+mn-lt"/>
              <a:ea typeface="+mn-ea"/>
              <a:cs typeface="+mn-cs"/>
            </a:rPr>
            <a:t>, bzw., falls ein Mehrbedarf vorhanden ist, zu diesem addiert werden.  </a:t>
          </a:r>
        </a:p>
        <a:p>
          <a:pPr marL="0" marR="0" lvl="0" indent="0" defTabSz="914400" eaLnBrk="1" fontAlgn="auto" latinLnBrk="0" hangingPunct="1">
            <a:lnSpc>
              <a:spcPct val="100000"/>
            </a:lnSpc>
            <a:spcBef>
              <a:spcPts val="0"/>
            </a:spcBef>
            <a:spcAft>
              <a:spcPts val="0"/>
            </a:spcAft>
            <a:buClrTx/>
            <a:buSzTx/>
            <a:buFontTx/>
            <a:buNone/>
            <a:tabLst/>
            <a:defRPr/>
          </a:pPr>
          <a:r>
            <a:rPr lang="de-DE" sz="1200" b="1" baseline="0">
              <a:solidFill>
                <a:schemeClr val="dk1"/>
              </a:solidFill>
              <a:effectLst/>
              <a:latin typeface="+mn-lt"/>
              <a:ea typeface="+mn-ea"/>
              <a:cs typeface="+mn-cs"/>
            </a:rPr>
            <a:t>Zur temporären Bedarfsgemeinschaft siehe weiter unten</a:t>
          </a:r>
          <a:r>
            <a:rPr lang="de-DE" sz="1200" b="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de-DE" sz="1200" b="0" baseline="0">
              <a:solidFill>
                <a:schemeClr val="dk1"/>
              </a:solidFill>
              <a:effectLst/>
              <a:latin typeface="+mn-lt"/>
              <a:ea typeface="+mn-ea"/>
              <a:cs typeface="+mn-cs"/>
            </a:rPr>
            <a:t>Zeile 13 liefert das Ergebnis, wenn kein Mehrbedarf für Warmwasser besteht, Ziele 19 bei besehendem Mehrbedarf Wamrwasser.</a:t>
          </a:r>
        </a:p>
        <a:p>
          <a:pPr marL="0" marR="0" lvl="0" indent="0" defTabSz="914400" eaLnBrk="1" fontAlgn="auto" latinLnBrk="0" hangingPunct="1">
            <a:lnSpc>
              <a:spcPct val="100000"/>
            </a:lnSpc>
            <a:spcBef>
              <a:spcPts val="0"/>
            </a:spcBef>
            <a:spcAft>
              <a:spcPts val="0"/>
            </a:spcAft>
            <a:buClrTx/>
            <a:buSzTx/>
            <a:buFontTx/>
            <a:buNone/>
            <a:tabLst/>
            <a:defRPr/>
          </a:pPr>
          <a:r>
            <a:rPr lang="de-DE" sz="1200" b="0" baseline="0">
              <a:solidFill>
                <a:schemeClr val="dk1"/>
              </a:solidFill>
              <a:effectLst/>
              <a:latin typeface="+mn-lt"/>
              <a:ea typeface="+mn-ea"/>
              <a:cs typeface="+mn-cs"/>
            </a:rPr>
            <a:t> </a:t>
          </a:r>
          <a:endParaRPr lang="de-DE" sz="1200" b="0">
            <a:effectLst/>
          </a:endParaRPr>
        </a:p>
        <a:p>
          <a:endParaRPr lang="de-DE" sz="1200" b="1"/>
        </a:p>
      </xdr:txBody>
    </xdr:sp>
    <xdr:clientData/>
  </xdr:twoCellAnchor>
  <mc:AlternateContent xmlns:mc="http://schemas.openxmlformats.org/markup-compatibility/2006">
    <mc:Choice xmlns:a14="http://schemas.microsoft.com/office/drawing/2010/main" Requires="a14">
      <xdr:twoCellAnchor editAs="oneCell">
        <xdr:from>
          <xdr:col>1</xdr:col>
          <xdr:colOff>561975</xdr:colOff>
          <xdr:row>26</xdr:row>
          <xdr:rowOff>419100</xdr:rowOff>
        </xdr:from>
        <xdr:to>
          <xdr:col>1</xdr:col>
          <xdr:colOff>838200</xdr:colOff>
          <xdr:row>27</xdr:row>
          <xdr:rowOff>180975</xdr:rowOff>
        </xdr:to>
        <xdr:sp macro="" textlink="">
          <xdr:nvSpPr>
            <xdr:cNvPr id="80940" name="Check Box 44" hidden="1">
              <a:extLst>
                <a:ext uri="{63B3BB69-23CF-44E3-9099-C40C66FF867C}">
                  <a14:compatExt spid="_x0000_s80940"/>
                </a:ext>
                <a:ext uri="{FF2B5EF4-FFF2-40B4-BE49-F238E27FC236}">
                  <a16:creationId xmlns:a16="http://schemas.microsoft.com/office/drawing/2014/main" id="{00000000-0008-0000-0500-00002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20637</xdr:colOff>
      <xdr:row>22</xdr:row>
      <xdr:rowOff>19050</xdr:rowOff>
    </xdr:from>
    <xdr:to>
      <xdr:col>17</xdr:col>
      <xdr:colOff>206376</xdr:colOff>
      <xdr:row>22</xdr:row>
      <xdr:rowOff>261938</xdr:rowOff>
    </xdr:to>
    <xdr:sp macro="" textlink="">
      <xdr:nvSpPr>
        <xdr:cNvPr id="4" name="Textfeld 3">
          <a:extLst>
            <a:ext uri="{FF2B5EF4-FFF2-40B4-BE49-F238E27FC236}">
              <a16:creationId xmlns:a16="http://schemas.microsoft.com/office/drawing/2014/main" id="{00000000-0008-0000-0500-000004000000}"/>
            </a:ext>
          </a:extLst>
        </xdr:cNvPr>
        <xdr:cNvSpPr txBox="1"/>
      </xdr:nvSpPr>
      <xdr:spPr>
        <a:xfrm>
          <a:off x="3425825" y="5265738"/>
          <a:ext cx="6765926" cy="24288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baseline="0">
              <a:solidFill>
                <a:srgbClr val="800000"/>
              </a:solidFill>
              <a:effectLst/>
              <a:latin typeface="+mn-lt"/>
              <a:ea typeface="+mn-ea"/>
              <a:cs typeface="+mn-cs"/>
            </a:rPr>
            <a:t>Achtung: Ist das Kind nur bei einem Elternteil bedürftig, muss stets ein Monat mit 30 Tagen ausgewählt werden!</a:t>
          </a:r>
          <a:endParaRPr lang="de-DE" sz="1100">
            <a:solidFill>
              <a:srgbClr val="800000"/>
            </a:solidFill>
          </a:endParaRPr>
        </a:p>
      </xdr:txBody>
    </xdr:sp>
    <xdr:clientData/>
  </xdr:twoCellAnchor>
  <xdr:twoCellAnchor>
    <xdr:from>
      <xdr:col>0</xdr:col>
      <xdr:colOff>0</xdr:colOff>
      <xdr:row>20</xdr:row>
      <xdr:rowOff>71437</xdr:rowOff>
    </xdr:from>
    <xdr:to>
      <xdr:col>17</xdr:col>
      <xdr:colOff>198437</xdr:colOff>
      <xdr:row>21</xdr:row>
      <xdr:rowOff>2397125</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0" y="5127625"/>
          <a:ext cx="10239375" cy="251618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Berechnung</a:t>
          </a:r>
          <a:r>
            <a:rPr lang="de-DE" sz="1800" b="1" baseline="0"/>
            <a:t> des Bedarfs bei Kindern in temporärer Bedarfsgemeinschaft</a:t>
          </a:r>
        </a:p>
        <a:p>
          <a:pPr marL="228600" indent="-228600">
            <a:buFont typeface="+mj-lt"/>
            <a:buAutoNum type="arabicPeriod"/>
          </a:pPr>
          <a:r>
            <a:rPr lang="de-DE" sz="1200" baseline="0"/>
            <a:t>Das Alter des Kindes in der SGB II-Tabelle eingeben</a:t>
          </a:r>
        </a:p>
        <a:p>
          <a:pPr marL="228600" indent="-228600">
            <a:buFont typeface="+mj-lt"/>
            <a:buAutoNum type="arabicPeriod"/>
          </a:pPr>
          <a:r>
            <a:rPr lang="de-DE" sz="1200"/>
            <a:t>Die Anwesenheitstage in Feld B 24 eingeben </a:t>
          </a:r>
        </a:p>
        <a:p>
          <a:pPr marL="228600" indent="-228600">
            <a:buFont typeface="+mj-lt"/>
            <a:buAutoNum type="arabicPeriod"/>
          </a:pPr>
          <a:r>
            <a:rPr lang="de-DE" sz="1200"/>
            <a:t>In C23 den Monat auswählen.</a:t>
          </a:r>
          <a:r>
            <a:rPr lang="de-DE" sz="1200" baseline="0"/>
            <a:t> Hierzu klicken Sie auf das Feld C24. Dann sehen Sie rechts des Feld den Pfeil nach unten. Beim Anklicken öffnet sich eine Dropdownliste. Hier kann der betreffende Kalendermonat ausgewählt werden. Dies ist wichtig, weil im SGB II alle Kalendermonate 30 Tage haben. Bei Monaten mit 31 Tagen wird ein Tag bei der Haupt-BG abgezogen, im Februar ein oder zwei Tage hinzugerechnet. Das macht die Rechenhilfe automatisch.</a:t>
          </a:r>
        </a:p>
        <a:p>
          <a:pPr marL="228600" indent="-228600">
            <a:buFont typeface="+mj-lt"/>
            <a:buAutoNum type="arabicPeriod"/>
          </a:pPr>
          <a:r>
            <a:rPr lang="de-DE" sz="1200" baseline="0"/>
            <a:t>In B27 sehen Sie die bei der Berechnung berücksichtigten Tage.</a:t>
          </a:r>
        </a:p>
        <a:p>
          <a:pPr marL="228600" indent="-228600">
            <a:buFont typeface="+mj-lt"/>
            <a:buAutoNum type="arabicPeriod"/>
          </a:pPr>
          <a:r>
            <a:rPr lang="de-DE" sz="1200" baseline="0"/>
            <a:t>in B28 müssen Sie das Kontrollkästchen Warmwasser aktivieren, wenn Warmwasser dezentral bereitet wird.</a:t>
          </a:r>
        </a:p>
        <a:p>
          <a:pPr marL="228600" indent="-228600">
            <a:buFont typeface="+mj-lt"/>
            <a:buAutoNum type="arabicPeriod"/>
          </a:pPr>
          <a:r>
            <a:rPr lang="de-DE" sz="1200" baseline="0"/>
            <a:t>In C29, bzw. D29 oder E29 müssen Sie den Regelbedarf eintragen, den das Kind hat, welches sich temporär in der BG befindet. Wenn Sie auf das jeweilige Feld klicken, erscheint recht der Pfeil zur Öffung der Droppdown-Liste.</a:t>
          </a:r>
        </a:p>
        <a:p>
          <a:pPr marL="228600" indent="-228600">
            <a:buFont typeface="+mj-lt"/>
            <a:buAutoNum type="arabicPeriod"/>
          </a:pPr>
          <a:r>
            <a:rPr lang="de-DE" sz="1200" baseline="0"/>
            <a:t>Das Ergebnis finden Sie für die einzelnen Kalenderjahre in der Zeile 32. Das Ergebnis muss in dieser Form, also als negativer Betrag, als Mehrbedarf eingetragen werden. Das Ergebnis ist der Abzugsbetrag, der aufgrund der Nichtanwesenheit abzuziehen ist. </a:t>
          </a:r>
          <a:endParaRPr lang="de-DE"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12474</xdr:colOff>
      <xdr:row>34</xdr:row>
      <xdr:rowOff>118156</xdr:rowOff>
    </xdr:from>
    <xdr:to>
      <xdr:col>3</xdr:col>
      <xdr:colOff>761546</xdr:colOff>
      <xdr:row>38</xdr:row>
      <xdr:rowOff>19504</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2474" y="2461306"/>
          <a:ext cx="3425597" cy="66334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Anmerkung: Der Auszahlungsbetrag wird auf ganze Euro gerundet. Ein</a:t>
          </a:r>
          <a:r>
            <a:rPr lang="de-DE" sz="1100" b="1" baseline="0"/>
            <a:t> Wohngeldanspruch besteht nicht, wenn das Wohngeld weniger als 10 Euro betragen würde</a:t>
          </a:r>
          <a:endParaRPr lang="de-DE" sz="1100" b="1"/>
        </a:p>
      </xdr:txBody>
    </xdr:sp>
    <xdr:clientData/>
  </xdr:twoCellAnchor>
  <mc:AlternateContent xmlns:mc="http://schemas.openxmlformats.org/markup-compatibility/2006">
    <mc:Choice xmlns:a14="http://schemas.microsoft.com/office/drawing/2010/main" Requires="a14">
      <xdr:twoCellAnchor editAs="oneCell">
        <xdr:from>
          <xdr:col>13</xdr:col>
          <xdr:colOff>228600</xdr:colOff>
          <xdr:row>51</xdr:row>
          <xdr:rowOff>28575</xdr:rowOff>
        </xdr:from>
        <xdr:to>
          <xdr:col>13</xdr:col>
          <xdr:colOff>542925</xdr:colOff>
          <xdr:row>51</xdr:row>
          <xdr:rowOff>152400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51</xdr:row>
          <xdr:rowOff>180975</xdr:rowOff>
        </xdr:from>
        <xdr:to>
          <xdr:col>13</xdr:col>
          <xdr:colOff>542925</xdr:colOff>
          <xdr:row>53</xdr:row>
          <xdr:rowOff>28575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6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53</xdr:row>
          <xdr:rowOff>28575</xdr:rowOff>
        </xdr:from>
        <xdr:to>
          <xdr:col>13</xdr:col>
          <xdr:colOff>542925</xdr:colOff>
          <xdr:row>54</xdr:row>
          <xdr:rowOff>123825</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6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54</xdr:row>
          <xdr:rowOff>76200</xdr:rowOff>
        </xdr:from>
        <xdr:to>
          <xdr:col>13</xdr:col>
          <xdr:colOff>561975</xdr:colOff>
          <xdr:row>55</xdr:row>
          <xdr:rowOff>114300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6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115765</xdr:colOff>
      <xdr:row>0</xdr:row>
      <xdr:rowOff>55686</xdr:rowOff>
    </xdr:from>
    <xdr:to>
      <xdr:col>14</xdr:col>
      <xdr:colOff>1201615</xdr:colOff>
      <xdr:row>0</xdr:row>
      <xdr:rowOff>684336</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15765" y="55686"/>
          <a:ext cx="10764715" cy="628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Hinweis</a:t>
          </a:r>
          <a:r>
            <a:rPr lang="de-DE" sz="1100"/>
            <a:t>: </a:t>
          </a:r>
          <a:r>
            <a:rPr lang="de-DE" sz="1100" b="1">
              <a:solidFill>
                <a:srgbClr val="800000"/>
              </a:solidFill>
            </a:rPr>
            <a:t>Bitte verwenden Sie diese Wohngeldrechenhilfe </a:t>
          </a:r>
          <a:r>
            <a:rPr lang="de-DE" sz="1100" b="1" u="sng">
              <a:solidFill>
                <a:srgbClr val="800000"/>
              </a:solidFill>
            </a:rPr>
            <a:t>nur</a:t>
          </a:r>
          <a:r>
            <a:rPr lang="de-DE" sz="1100" b="1">
              <a:solidFill>
                <a:srgbClr val="800000"/>
              </a:solidFill>
            </a:rPr>
            <a:t>, wenn Sie sich mit der Einkommensanrechnung des Wohngeldes gut auskennen!!!!</a:t>
          </a:r>
          <a:r>
            <a:rPr lang="de-DE" sz="1100"/>
            <a:t> Die Wohngeldformel selbst ist einfach automatisierbar, komplex ist dagegen die Frage, welches Einkommen, wie anzurechnen ist. Der Wohngeldrechner des Landes Mecklenburg-Vorpommern gibt da ausführliche Hilfen und ist allen zu empfehlen, die über keine gründlichen Wohngeld-Kenntnisse verfügen https://wohngeld-mv.de/Rechner/  </a:t>
          </a:r>
          <a:r>
            <a:rPr lang="de-DE" sz="1100" b="1">
              <a:solidFill>
                <a:srgbClr val="800000"/>
              </a:solidFill>
            </a:rPr>
            <a:t>Wenn Sie auf diesen Text klicken,</a:t>
          </a:r>
          <a:r>
            <a:rPr lang="de-DE" sz="1100" b="1" baseline="0">
              <a:solidFill>
                <a:srgbClr val="800000"/>
              </a:solidFill>
            </a:rPr>
            <a:t> öffnet sich der Rechner!</a:t>
          </a:r>
          <a:endParaRPr lang="de-DE" sz="1100" b="1">
            <a:solidFill>
              <a:srgbClr val="800000"/>
            </a:solidFill>
          </a:endParaRPr>
        </a:p>
      </xdr:txBody>
    </xdr:sp>
    <xdr:clientData/>
  </xdr:twoCellAnchor>
  <xdr:twoCellAnchor>
    <xdr:from>
      <xdr:col>0</xdr:col>
      <xdr:colOff>0</xdr:colOff>
      <xdr:row>52</xdr:row>
      <xdr:rowOff>15875</xdr:rowOff>
    </xdr:from>
    <xdr:to>
      <xdr:col>7</xdr:col>
      <xdr:colOff>15874</xdr:colOff>
      <xdr:row>53</xdr:row>
      <xdr:rowOff>277813</xdr:rowOff>
    </xdr:to>
    <xdr:sp macro="" textlink="">
      <xdr:nvSpPr>
        <xdr:cNvPr id="4" name="Textfeld 3">
          <a:extLst>
            <a:ext uri="{FF2B5EF4-FFF2-40B4-BE49-F238E27FC236}">
              <a16:creationId xmlns:a16="http://schemas.microsoft.com/office/drawing/2014/main" id="{00000000-0008-0000-0600-000004000000}"/>
            </a:ext>
          </a:extLst>
        </xdr:cNvPr>
        <xdr:cNvSpPr txBox="1"/>
      </xdr:nvSpPr>
      <xdr:spPr>
        <a:xfrm>
          <a:off x="0" y="5024438"/>
          <a:ext cx="3992562" cy="4445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Beim Bruttolohn wird die Pauschale</a:t>
          </a:r>
          <a:r>
            <a:rPr lang="de-DE" sz="1100" baseline="0"/>
            <a:t> für </a:t>
          </a:r>
          <a:r>
            <a:rPr lang="de-DE" sz="1100"/>
            <a:t>Werbungskosten berücksichtigt.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12474</xdr:colOff>
      <xdr:row>34</xdr:row>
      <xdr:rowOff>118156</xdr:rowOff>
    </xdr:from>
    <xdr:to>
      <xdr:col>3</xdr:col>
      <xdr:colOff>761546</xdr:colOff>
      <xdr:row>38</xdr:row>
      <xdr:rowOff>19504</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12474" y="3248706"/>
          <a:ext cx="4317772" cy="63794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Anmerkung: Der Auszahlungsbetrag wird auf ganze Euro gerundet. Ein</a:t>
          </a:r>
          <a:r>
            <a:rPr lang="de-DE" sz="1100" b="1" baseline="0"/>
            <a:t> Wohngeldanspruch besteht nicht, wenn das Wohngeld weniger als 10 Euro betragen würde</a:t>
          </a:r>
          <a:endParaRPr lang="de-DE" sz="1100" b="1"/>
        </a:p>
      </xdr:txBody>
    </xdr:sp>
    <xdr:clientData/>
  </xdr:twoCellAnchor>
  <mc:AlternateContent xmlns:mc="http://schemas.openxmlformats.org/markup-compatibility/2006">
    <mc:Choice xmlns:a14="http://schemas.microsoft.com/office/drawing/2010/main" Requires="a14">
      <xdr:twoCellAnchor editAs="oneCell">
        <xdr:from>
          <xdr:col>13</xdr:col>
          <xdr:colOff>228600</xdr:colOff>
          <xdr:row>51</xdr:row>
          <xdr:rowOff>28575</xdr:rowOff>
        </xdr:from>
        <xdr:to>
          <xdr:col>13</xdr:col>
          <xdr:colOff>542925</xdr:colOff>
          <xdr:row>51</xdr:row>
          <xdr:rowOff>152400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7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51</xdr:row>
          <xdr:rowOff>180975</xdr:rowOff>
        </xdr:from>
        <xdr:to>
          <xdr:col>13</xdr:col>
          <xdr:colOff>542925</xdr:colOff>
          <xdr:row>53</xdr:row>
          <xdr:rowOff>28575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7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53</xdr:row>
          <xdr:rowOff>85725</xdr:rowOff>
        </xdr:from>
        <xdr:to>
          <xdr:col>13</xdr:col>
          <xdr:colOff>533400</xdr:colOff>
          <xdr:row>53</xdr:row>
          <xdr:rowOff>314325</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7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54</xdr:row>
          <xdr:rowOff>123825</xdr:rowOff>
        </xdr:from>
        <xdr:to>
          <xdr:col>13</xdr:col>
          <xdr:colOff>542925</xdr:colOff>
          <xdr:row>54</xdr:row>
          <xdr:rowOff>266700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7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115765</xdr:colOff>
      <xdr:row>0</xdr:row>
      <xdr:rowOff>55686</xdr:rowOff>
    </xdr:from>
    <xdr:to>
      <xdr:col>14</xdr:col>
      <xdr:colOff>1201615</xdr:colOff>
      <xdr:row>0</xdr:row>
      <xdr:rowOff>684336</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700-000007000000}"/>
            </a:ext>
          </a:extLst>
        </xdr:cNvPr>
        <xdr:cNvSpPr txBox="1"/>
      </xdr:nvSpPr>
      <xdr:spPr>
        <a:xfrm>
          <a:off x="115765" y="55686"/>
          <a:ext cx="11995150" cy="628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Hinweis</a:t>
          </a:r>
          <a:r>
            <a:rPr lang="de-DE" sz="1100"/>
            <a:t>: </a:t>
          </a:r>
          <a:r>
            <a:rPr lang="de-DE" sz="1100" b="1">
              <a:solidFill>
                <a:srgbClr val="800000"/>
              </a:solidFill>
            </a:rPr>
            <a:t>Bitte verwenden Sie diese Wohngeldrechenhilfe </a:t>
          </a:r>
          <a:r>
            <a:rPr lang="de-DE" sz="1100" b="1" u="sng">
              <a:solidFill>
                <a:srgbClr val="800000"/>
              </a:solidFill>
            </a:rPr>
            <a:t>nur</a:t>
          </a:r>
          <a:r>
            <a:rPr lang="de-DE" sz="1100" b="1">
              <a:solidFill>
                <a:srgbClr val="800000"/>
              </a:solidFill>
            </a:rPr>
            <a:t>, wenn Sie sich mit der Einkommensanrechnung des Wohngeldes gut auskennen!!!!</a:t>
          </a:r>
          <a:r>
            <a:rPr lang="de-DE" sz="1100"/>
            <a:t> Die Wohngeldformel selbst ist einfach automatisierbar, komplex ist dagegen die Frage, welches Einkommen, wie anzurechnen ist. Der Wohngeldrechner des Landes Mecklenburg-Vorpommern gibt da ausführliche Hilfen und ist allen zu empfehlen, die über keine gründlichen Wohngeld-Kenntnisse verfügen https://wohngeld-mv.de/Rechner/  </a:t>
          </a:r>
          <a:r>
            <a:rPr lang="de-DE" sz="1100" b="1">
              <a:solidFill>
                <a:srgbClr val="800000"/>
              </a:solidFill>
            </a:rPr>
            <a:t>Wenn Sie auf diesen Text klicken,</a:t>
          </a:r>
          <a:r>
            <a:rPr lang="de-DE" sz="1100" b="1" baseline="0">
              <a:solidFill>
                <a:srgbClr val="800000"/>
              </a:solidFill>
            </a:rPr>
            <a:t> öffnet sich der Rechner!</a:t>
          </a:r>
          <a:endParaRPr lang="de-DE" sz="1100" b="1">
            <a:solidFill>
              <a:srgbClr val="800000"/>
            </a:solidFill>
          </a:endParaRPr>
        </a:p>
      </xdr:txBody>
    </xdr:sp>
    <xdr:clientData/>
  </xdr:twoCellAnchor>
  <xdr:twoCellAnchor>
    <xdr:from>
      <xdr:col>0</xdr:col>
      <xdr:colOff>0</xdr:colOff>
      <xdr:row>52</xdr:row>
      <xdr:rowOff>15875</xdr:rowOff>
    </xdr:from>
    <xdr:to>
      <xdr:col>7</xdr:col>
      <xdr:colOff>15874</xdr:colOff>
      <xdr:row>53</xdr:row>
      <xdr:rowOff>277813</xdr:rowOff>
    </xdr:to>
    <xdr:sp macro="" textlink="">
      <xdr:nvSpPr>
        <xdr:cNvPr id="8" name="Textfeld 7">
          <a:extLst>
            <a:ext uri="{FF2B5EF4-FFF2-40B4-BE49-F238E27FC236}">
              <a16:creationId xmlns:a16="http://schemas.microsoft.com/office/drawing/2014/main" id="{00000000-0008-0000-0700-000008000000}"/>
            </a:ext>
          </a:extLst>
        </xdr:cNvPr>
        <xdr:cNvSpPr txBox="1"/>
      </xdr:nvSpPr>
      <xdr:spPr>
        <a:xfrm>
          <a:off x="0" y="5222875"/>
          <a:ext cx="4454524" cy="4460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Beim Bruttolohn wird die Pauschale</a:t>
          </a:r>
          <a:r>
            <a:rPr lang="de-DE" sz="1100" baseline="0"/>
            <a:t> für </a:t>
          </a:r>
          <a:r>
            <a:rPr lang="de-DE" sz="1100"/>
            <a:t>Werbungskosten berücksichtigt.</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56.xml"/><Relationship Id="rId7"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AI130"/>
  <sheetViews>
    <sheetView zoomScale="160" zoomScaleNormal="160" zoomScaleSheetLayoutView="160" workbookViewId="0">
      <selection activeCell="F28" sqref="F28"/>
    </sheetView>
    <sheetView workbookViewId="1"/>
  </sheetViews>
  <sheetFormatPr baseColWidth="10" defaultColWidth="11.42578125" defaultRowHeight="15" x14ac:dyDescent="0.25"/>
  <cols>
    <col min="1" max="1" width="45.85546875" style="1" customWidth="1"/>
    <col min="2" max="2" width="14.140625" customWidth="1"/>
    <col min="3" max="4" width="14.5703125" customWidth="1"/>
    <col min="5" max="5" width="16.5703125" style="2" customWidth="1"/>
    <col min="6" max="6" width="17.42578125" style="2" customWidth="1"/>
    <col min="7" max="7" width="16.42578125" style="2" customWidth="1"/>
    <col min="8" max="8" width="14.140625" customWidth="1"/>
    <col min="9" max="9" width="13" customWidth="1"/>
    <col min="10" max="10" width="27.5703125" hidden="1" customWidth="1"/>
    <col min="11" max="11" width="13.5703125" hidden="1" customWidth="1"/>
    <col min="12" max="12" width="10.85546875" style="13" hidden="1" customWidth="1"/>
    <col min="13" max="13" width="10.85546875" hidden="1" customWidth="1"/>
    <col min="14" max="14" width="11.42578125" hidden="1" customWidth="1"/>
    <col min="15" max="15" width="10.85546875" hidden="1" customWidth="1"/>
    <col min="16" max="16" width="10.85546875" customWidth="1"/>
    <col min="17" max="17" width="10.85546875" style="2" customWidth="1"/>
    <col min="18" max="18" width="11.42578125" customWidth="1"/>
    <col min="19" max="19" width="20.140625" customWidth="1"/>
    <col min="20" max="20" width="19.5703125" customWidth="1"/>
    <col min="21" max="22" width="11.5703125" hidden="1" customWidth="1"/>
    <col min="23" max="23" width="16" hidden="1" customWidth="1"/>
    <col min="24" max="24" width="11.5703125" hidden="1" customWidth="1"/>
    <col min="25" max="25" width="16.140625" hidden="1" customWidth="1"/>
    <col min="26" max="27" width="10.85546875" hidden="1" customWidth="1"/>
    <col min="28" max="35" width="11.42578125" hidden="1" customWidth="1"/>
    <col min="36" max="42" width="11.42578125" customWidth="1"/>
  </cols>
  <sheetData>
    <row r="1" spans="1:17" s="152" customFormat="1" ht="21.75" customHeight="1" x14ac:dyDescent="0.3">
      <c r="A1" s="151" t="s">
        <v>0</v>
      </c>
      <c r="B1" s="155">
        <f>'SGB II alleinstehend -erziehend'!B1</f>
        <v>2026</v>
      </c>
      <c r="E1" s="153"/>
      <c r="F1" s="153"/>
      <c r="G1" s="153"/>
      <c r="K1" s="152">
        <v>2021</v>
      </c>
      <c r="L1" s="154"/>
      <c r="M1" s="346">
        <v>2026</v>
      </c>
      <c r="N1" s="152">
        <v>297</v>
      </c>
      <c r="Q1" s="153"/>
    </row>
    <row r="2" spans="1:17" ht="23.25" customHeight="1" x14ac:dyDescent="0.3">
      <c r="A2" s="92" t="s">
        <v>2</v>
      </c>
      <c r="B2" s="89"/>
      <c r="C2" s="90"/>
      <c r="D2" s="90"/>
      <c r="E2" s="90"/>
      <c r="F2" s="90"/>
      <c r="G2" s="90"/>
      <c r="H2" s="90"/>
      <c r="I2" s="90"/>
      <c r="K2">
        <v>2022</v>
      </c>
      <c r="L2"/>
      <c r="M2" s="346">
        <v>2025</v>
      </c>
      <c r="N2" s="152">
        <v>297</v>
      </c>
      <c r="Q2"/>
    </row>
    <row r="3" spans="1:17" ht="17.25" x14ac:dyDescent="0.3">
      <c r="A3" s="63" t="s">
        <v>3</v>
      </c>
      <c r="B3" s="4">
        <f>'SGB II alleinstehend -erziehend'!T44</f>
        <v>0</v>
      </c>
      <c r="C3" s="304" t="str">
        <f>'SGB II alleinstehend -erziehend'!D1</f>
        <v>Kind 1</v>
      </c>
      <c r="D3" s="304" t="str">
        <f>'SGB II alleinstehend -erziehend'!E1</f>
        <v>Kind 2</v>
      </c>
      <c r="E3" s="304" t="str">
        <f>'SGB II alleinstehend -erziehend'!F1</f>
        <v>Kind 3</v>
      </c>
      <c r="F3" s="304" t="str">
        <f>'SGB II alleinstehend -erziehend'!G1</f>
        <v>Kind 4</v>
      </c>
      <c r="G3" s="304" t="str">
        <f>'SGB II alleinstehend -erziehend'!H1</f>
        <v>Kind 5</v>
      </c>
      <c r="H3" s="304" t="str">
        <f>'SGB II alleinstehend -erziehend'!I1</f>
        <v>Kind 6</v>
      </c>
      <c r="I3" s="304" t="str">
        <f>'SGB II alleinstehend -erziehend'!J1</f>
        <v>Kind 7</v>
      </c>
      <c r="K3" t="s">
        <v>4</v>
      </c>
      <c r="L3"/>
      <c r="M3" s="346">
        <v>2024</v>
      </c>
      <c r="N3" s="152">
        <v>292</v>
      </c>
      <c r="Q3"/>
    </row>
    <row r="4" spans="1:17" ht="17.25" hidden="1" x14ac:dyDescent="0.3">
      <c r="A4" t="s">
        <v>6</v>
      </c>
      <c r="B4" s="4">
        <f>Z50</f>
        <v>0</v>
      </c>
      <c r="C4" t="b">
        <f>IF('SGB II alleinstehend -erziehend'!D33&gt;0,TRUE,FALSE)</f>
        <v>0</v>
      </c>
      <c r="D4" t="b">
        <f>IF('SGB II alleinstehend -erziehend'!E33&gt;0,TRUE,FALSE)</f>
        <v>0</v>
      </c>
      <c r="E4" t="b">
        <f>IF('SGB II alleinstehend -erziehend'!F33&gt;0,TRUE,FALSE)</f>
        <v>0</v>
      </c>
      <c r="F4" t="b">
        <f>IF('SGB II alleinstehend -erziehend'!G33&gt;0,TRUE,FALSE)</f>
        <v>0</v>
      </c>
      <c r="G4" t="b">
        <f>IF('SGB II alleinstehend -erziehend'!H33&gt;0,TRUE,FALSE)</f>
        <v>0</v>
      </c>
      <c r="H4" t="b">
        <f>IF('SGB II alleinstehend -erziehend'!I33&gt;0,TRUE,FALSE)</f>
        <v>0</v>
      </c>
      <c r="I4" t="b">
        <f>IF('SGB II alleinstehend -erziehend'!J33&gt;0,TRUE,FALSE)</f>
        <v>0</v>
      </c>
      <c r="K4">
        <f>VLOOKUP(B1,M1:N8,2,FALSE)</f>
        <v>297</v>
      </c>
      <c r="L4"/>
      <c r="M4" s="346" t="s">
        <v>1</v>
      </c>
      <c r="N4" s="152">
        <v>250</v>
      </c>
      <c r="Q4"/>
    </row>
    <row r="5" spans="1:17" hidden="1" x14ac:dyDescent="0.25">
      <c r="A5" t="s">
        <v>7</v>
      </c>
      <c r="B5" s="4"/>
      <c r="C5" s="3">
        <f>IF(C4=TRUE,$K$4-0.45*('SGB II alleinstehend -erziehend'!D30+'SGB II alleinstehend -erziehend'!D31+'SGB II alleinstehend -erziehend'!D37+'SGB II alleinstehend -erziehend'!D38+'SGB II alleinstehend -erziehend'!D39+'SGB II alleinstehend -erziehend'!D40+'SGB II alleinstehend -erziehend'!D41-'SGB II alleinstehend -erziehend'!D42-'SGB II alleinstehend -erziehend'!D43),0)</f>
        <v>0</v>
      </c>
      <c r="D5" s="3">
        <f>IF(D4=TRUE,$K$4-0.45*('SGB II alleinstehend -erziehend'!E30+'SGB II alleinstehend -erziehend'!E31+'SGB II alleinstehend -erziehend'!E37+'SGB II alleinstehend -erziehend'!E38+'SGB II alleinstehend -erziehend'!E39+'SGB II alleinstehend -erziehend'!E40+'SGB II alleinstehend -erziehend'!E41-'SGB II alleinstehend -erziehend'!E42-'SGB II alleinstehend -erziehend'!E43),0)</f>
        <v>0</v>
      </c>
      <c r="E5" s="3">
        <f>IF(E4=TRUE,$K$4-0.45*('SGB II alleinstehend -erziehend'!F30+'SGB II alleinstehend -erziehend'!F31+'SGB II alleinstehend -erziehend'!F37+'SGB II alleinstehend -erziehend'!F38+'SGB II alleinstehend -erziehend'!F39+'SGB II alleinstehend -erziehend'!F40+'SGB II alleinstehend -erziehend'!F41-'SGB II alleinstehend -erziehend'!F42-'SGB II alleinstehend -erziehend'!F43),0)</f>
        <v>0</v>
      </c>
      <c r="F5" s="3">
        <f>IF(F4=TRUE,$K$4-0.45*('SGB II alleinstehend -erziehend'!G30+'SGB II alleinstehend -erziehend'!G31+'SGB II alleinstehend -erziehend'!G37+'SGB II alleinstehend -erziehend'!G38+'SGB II alleinstehend -erziehend'!G39+'SGB II alleinstehend -erziehend'!G40+'SGB II alleinstehend -erziehend'!G41-'SGB II alleinstehend -erziehend'!G42-'SGB II alleinstehend -erziehend'!G43),0)</f>
        <v>0</v>
      </c>
      <c r="G5" s="3">
        <f>IF(G4=TRUE,$K$4-0.45*('SGB II alleinstehend -erziehend'!H30+'SGB II alleinstehend -erziehend'!H31+'SGB II alleinstehend -erziehend'!H37+'SGB II alleinstehend -erziehend'!H38+'SGB II alleinstehend -erziehend'!H39+'SGB II alleinstehend -erziehend'!H40+'SGB II alleinstehend -erziehend'!H41-'SGB II alleinstehend -erziehend'!H42-'SGB II alleinstehend -erziehend'!H43),0)</f>
        <v>0</v>
      </c>
      <c r="H5" s="3">
        <f>IF(H4=TRUE,$K$4-0.45*('SGB II alleinstehend -erziehend'!I30+'SGB II alleinstehend -erziehend'!I31+'SGB II alleinstehend -erziehend'!I37+'SGB II alleinstehend -erziehend'!I38+'SGB II alleinstehend -erziehend'!I39+'SGB II alleinstehend -erziehend'!I40+'SGB II alleinstehend -erziehend'!I41-'SGB II alleinstehend -erziehend'!I42-'SGB II alleinstehend -erziehend'!I43),0)</f>
        <v>0</v>
      </c>
      <c r="I5" s="3">
        <f>IF(I4=TRUE,$K$4-0.45*('SGB II alleinstehend -erziehend'!J30+'SGB II alleinstehend -erziehend'!J31+'SGB II alleinstehend -erziehend'!J37+'SGB II alleinstehend -erziehend'!J38+'SGB II alleinstehend -erziehend'!J39+'SGB II alleinstehend -erziehend'!J40+'SGB II alleinstehend -erziehend'!J41-'SGB II alleinstehend -erziehend'!J42-'SGB II alleinstehend -erziehend'!J43),0)</f>
        <v>0</v>
      </c>
      <c r="L5"/>
      <c r="M5" t="s">
        <v>408</v>
      </c>
      <c r="N5">
        <v>250</v>
      </c>
      <c r="Q5"/>
    </row>
    <row r="6" spans="1:17" ht="45.75" customHeight="1" x14ac:dyDescent="0.25">
      <c r="A6" s="393" t="s">
        <v>400</v>
      </c>
      <c r="B6" s="394"/>
      <c r="C6" s="394"/>
      <c r="D6" s="394"/>
      <c r="E6" s="394"/>
      <c r="F6" s="394"/>
      <c r="G6" s="394"/>
      <c r="H6" s="394"/>
      <c r="I6" s="395"/>
      <c r="L6"/>
      <c r="M6" t="s">
        <v>5</v>
      </c>
      <c r="N6">
        <v>229</v>
      </c>
      <c r="Q6"/>
    </row>
    <row r="7" spans="1:17" x14ac:dyDescent="0.25">
      <c r="A7" s="39" t="s">
        <v>8</v>
      </c>
      <c r="B7" s="39"/>
      <c r="C7" s="79"/>
      <c r="D7" s="79"/>
      <c r="E7" s="79"/>
      <c r="F7" s="79"/>
      <c r="G7" s="79"/>
      <c r="H7" s="79"/>
      <c r="I7" s="79"/>
      <c r="L7"/>
      <c r="M7">
        <v>2022</v>
      </c>
      <c r="N7">
        <v>209</v>
      </c>
      <c r="Q7"/>
    </row>
    <row r="8" spans="1:17" hidden="1" x14ac:dyDescent="0.25">
      <c r="A8" s="39" t="s">
        <v>9</v>
      </c>
      <c r="B8" s="39"/>
      <c r="C8" s="33" t="b">
        <f>ISBLANK(C7)</f>
        <v>1</v>
      </c>
      <c r="D8" s="33" t="b">
        <f t="shared" ref="D8:I8" si="0">ISBLANK(D7)</f>
        <v>1</v>
      </c>
      <c r="E8" s="33" t="b">
        <f t="shared" si="0"/>
        <v>1</v>
      </c>
      <c r="F8" s="33" t="b">
        <f t="shared" si="0"/>
        <v>1</v>
      </c>
      <c r="G8" s="33" t="b">
        <f t="shared" si="0"/>
        <v>1</v>
      </c>
      <c r="H8" s="33" t="b">
        <f t="shared" si="0"/>
        <v>1</v>
      </c>
      <c r="I8" s="33" t="b">
        <f t="shared" si="0"/>
        <v>1</v>
      </c>
      <c r="L8"/>
      <c r="M8">
        <v>2021</v>
      </c>
      <c r="N8">
        <v>205</v>
      </c>
      <c r="Q8"/>
    </row>
    <row r="9" spans="1:17" hidden="1" x14ac:dyDescent="0.25">
      <c r="A9"/>
      <c r="B9" s="8"/>
      <c r="C9" s="3">
        <f t="shared" ref="C9:I9" si="1">IF($G2=TRUE,IF(C5&gt;0,C5,0),$K$4-(0.45*C7))</f>
        <v>297</v>
      </c>
      <c r="D9" s="3">
        <f t="shared" si="1"/>
        <v>297</v>
      </c>
      <c r="E9" s="3">
        <f t="shared" si="1"/>
        <v>297</v>
      </c>
      <c r="F9" s="3">
        <f t="shared" si="1"/>
        <v>297</v>
      </c>
      <c r="G9" s="3">
        <f t="shared" si="1"/>
        <v>297</v>
      </c>
      <c r="H9" s="3">
        <f t="shared" si="1"/>
        <v>297</v>
      </c>
      <c r="I9" s="3">
        <f t="shared" si="1"/>
        <v>297</v>
      </c>
      <c r="L9"/>
      <c r="Q9"/>
    </row>
    <row r="10" spans="1:17" ht="14.25" customHeight="1" x14ac:dyDescent="0.25">
      <c r="A10" t="s">
        <v>401</v>
      </c>
      <c r="B10" s="8">
        <f>C10+D10+E10+F10+G10+H10+I10</f>
        <v>0</v>
      </c>
      <c r="C10" s="3">
        <f>IF(ISBLANK(C7),IF(C5&gt;0,IF(C5&gt;$K4,$K4,C5),0),IF(AND($K$4-0.45*C7&gt;0,C4=TRUE),$K$4-0.45*C7,0))</f>
        <v>0</v>
      </c>
      <c r="D10" s="3">
        <f t="shared" ref="D10:I10" si="2">IF(ISBLANK(D7),IF(D5&gt;0,IF(D5&gt;$K4,$K4,D5),0),IF(AND($K$4-0.45*D7&gt;0,D4=TRUE),$K$4-0.45*D7,0))</f>
        <v>0</v>
      </c>
      <c r="E10" s="3">
        <f t="shared" si="2"/>
        <v>0</v>
      </c>
      <c r="F10" s="3">
        <f t="shared" si="2"/>
        <v>0</v>
      </c>
      <c r="G10" s="3">
        <f t="shared" si="2"/>
        <v>0</v>
      </c>
      <c r="H10" s="3">
        <f t="shared" si="2"/>
        <v>0</v>
      </c>
      <c r="I10" s="3">
        <f t="shared" si="2"/>
        <v>0</v>
      </c>
      <c r="J10">
        <v>0</v>
      </c>
      <c r="K10">
        <v>1</v>
      </c>
      <c r="L10"/>
      <c r="Q10"/>
    </row>
    <row r="11" spans="1:17" ht="17.25" customHeight="1" x14ac:dyDescent="0.25">
      <c r="A11" s="1" t="s">
        <v>11</v>
      </c>
      <c r="B11" s="3">
        <f>'SGB II alleinstehend -erziehend'!C4+'SGB II alleinstehend -erziehend'!C5+'SGB II alleinstehend -erziehend'!C6+'SGB II alleinstehend -erziehend'!C7</f>
        <v>563</v>
      </c>
      <c r="E11"/>
      <c r="F11"/>
      <c r="G11"/>
      <c r="J11">
        <v>1</v>
      </c>
      <c r="K11" s="45">
        <f>K23</f>
        <v>0.77142857142857146</v>
      </c>
      <c r="L11"/>
      <c r="Q11"/>
    </row>
    <row r="12" spans="1:17" ht="19.5" customHeight="1" x14ac:dyDescent="0.25">
      <c r="A12" s="85" t="s">
        <v>12</v>
      </c>
      <c r="B12" s="166">
        <f>LOOKUP(Z50,J10:J17,K10:K17)</f>
        <v>1</v>
      </c>
      <c r="E12"/>
      <c r="F12"/>
      <c r="G12"/>
      <c r="J12">
        <v>2</v>
      </c>
      <c r="K12" s="45">
        <f>K24</f>
        <v>0.62790697674418605</v>
      </c>
      <c r="L12"/>
      <c r="Q12"/>
    </row>
    <row r="13" spans="1:17" ht="17.25" customHeight="1" x14ac:dyDescent="0.25">
      <c r="A13" s="1" t="s">
        <v>13</v>
      </c>
      <c r="B13" s="3">
        <f>('SGB II alleinstehend -erziehend'!B8+'SGB II alleinstehend -erziehend'!B9+'SGB II alleinstehend -erziehend'!B10)*B12*(B4+1+'SGB II alleinstehend -erziehend'!C72)/'SGB II alleinstehend -erziehend'!T42</f>
        <v>0</v>
      </c>
      <c r="E13"/>
      <c r="F13"/>
      <c r="G13"/>
      <c r="J13">
        <v>3</v>
      </c>
      <c r="K13" s="45">
        <f>K25</f>
        <v>0.52941176470588236</v>
      </c>
      <c r="L13"/>
      <c r="Q13"/>
    </row>
    <row r="14" spans="1:17" x14ac:dyDescent="0.25">
      <c r="A14" s="53" t="s">
        <v>14</v>
      </c>
      <c r="B14" s="54">
        <f>B11+B13</f>
        <v>563</v>
      </c>
      <c r="E14"/>
      <c r="F14"/>
      <c r="G14"/>
      <c r="J14">
        <v>4</v>
      </c>
      <c r="K14" s="45">
        <f>K27</f>
        <v>0.4576271186440678</v>
      </c>
      <c r="L14"/>
      <c r="Q14"/>
    </row>
    <row r="15" spans="1:17" hidden="1" x14ac:dyDescent="0.25">
      <c r="A15"/>
      <c r="E15"/>
      <c r="F15"/>
      <c r="G15"/>
      <c r="J15">
        <v>5</v>
      </c>
      <c r="K15" s="45">
        <f>K28</f>
        <v>0.40298507462686567</v>
      </c>
      <c r="L15"/>
      <c r="Q15"/>
    </row>
    <row r="16" spans="1:17" hidden="1" x14ac:dyDescent="0.25">
      <c r="E16"/>
      <c r="F16"/>
      <c r="G16"/>
      <c r="J16">
        <v>6</v>
      </c>
      <c r="K16" s="45">
        <f>K29</f>
        <v>0.36</v>
      </c>
      <c r="L16"/>
      <c r="Q16"/>
    </row>
    <row r="17" spans="1:19" hidden="1" x14ac:dyDescent="0.25">
      <c r="A17"/>
      <c r="E17"/>
      <c r="F17"/>
      <c r="G17"/>
      <c r="J17">
        <v>7</v>
      </c>
      <c r="K17" s="45">
        <f>K31</f>
        <v>0.3253012048192771</v>
      </c>
      <c r="L17"/>
      <c r="Q17"/>
    </row>
    <row r="18" spans="1:19" hidden="1" x14ac:dyDescent="0.25"/>
    <row r="19" spans="1:19" ht="27.75" customHeight="1" x14ac:dyDescent="0.25">
      <c r="A19" s="396" t="s">
        <v>15</v>
      </c>
      <c r="B19" s="396"/>
      <c r="C19" s="396"/>
      <c r="D19" s="396"/>
      <c r="E19" s="396"/>
      <c r="F19" s="396"/>
      <c r="G19" s="396"/>
      <c r="H19" s="396"/>
      <c r="I19" s="396"/>
      <c r="J19" s="396"/>
      <c r="K19" s="396"/>
    </row>
    <row r="20" spans="1:19" hidden="1" x14ac:dyDescent="0.25">
      <c r="K20">
        <v>4212</v>
      </c>
    </row>
    <row r="21" spans="1:19" ht="30" x14ac:dyDescent="0.25">
      <c r="A21" s="116" t="s">
        <v>402</v>
      </c>
      <c r="B21" s="9"/>
      <c r="C21" s="9"/>
      <c r="D21" s="9"/>
      <c r="E21" s="17"/>
      <c r="F21" s="17"/>
      <c r="G21" s="17"/>
      <c r="H21" s="348"/>
      <c r="I21" s="39"/>
      <c r="K21">
        <v>1248</v>
      </c>
    </row>
    <row r="22" spans="1:19" x14ac:dyDescent="0.25">
      <c r="A22" s="1" t="s">
        <v>16</v>
      </c>
      <c r="B22" s="91" t="s">
        <v>17</v>
      </c>
      <c r="C22" s="91" t="s">
        <v>18</v>
      </c>
      <c r="D22" s="91" t="s">
        <v>19</v>
      </c>
      <c r="E22" s="91" t="s">
        <v>20</v>
      </c>
      <c r="F22" s="91" t="s">
        <v>21</v>
      </c>
      <c r="G22" s="91" t="s">
        <v>22</v>
      </c>
      <c r="H22" s="353" t="s">
        <v>23</v>
      </c>
      <c r="P22" s="391" t="s">
        <v>24</v>
      </c>
      <c r="Q22" s="391"/>
      <c r="R22" s="391"/>
      <c r="S22" s="391"/>
    </row>
    <row r="23" spans="1:19" x14ac:dyDescent="0.25">
      <c r="A23" s="1" t="s">
        <v>25</v>
      </c>
      <c r="B23" s="10">
        <v>0</v>
      </c>
      <c r="C23" s="10">
        <v>0</v>
      </c>
      <c r="D23" s="10">
        <v>0</v>
      </c>
      <c r="E23" s="10">
        <v>0</v>
      </c>
      <c r="F23" s="10">
        <v>0</v>
      </c>
      <c r="G23" s="10">
        <v>0</v>
      </c>
      <c r="H23" s="348"/>
      <c r="K23">
        <f>$K$20/($K$20+J11*$K$21)</f>
        <v>0.77142857142857146</v>
      </c>
      <c r="P23" s="103"/>
      <c r="Q23" s="104"/>
      <c r="R23" s="103"/>
      <c r="S23" s="103"/>
    </row>
    <row r="24" spans="1:19" x14ac:dyDescent="0.25">
      <c r="A24" s="1" t="s">
        <v>26</v>
      </c>
      <c r="B24" s="10">
        <v>0</v>
      </c>
      <c r="C24" s="10">
        <v>0</v>
      </c>
      <c r="D24" s="10">
        <v>0</v>
      </c>
      <c r="E24" s="10">
        <v>0</v>
      </c>
      <c r="F24" s="10">
        <v>0</v>
      </c>
      <c r="G24" s="10">
        <v>0</v>
      </c>
      <c r="H24" s="348"/>
      <c r="K24">
        <f>$K$20/($K$20+J12*$K$21)</f>
        <v>0.62790697674418605</v>
      </c>
      <c r="P24" s="103"/>
      <c r="Q24" s="104"/>
      <c r="R24" s="103"/>
      <c r="S24" s="103"/>
    </row>
    <row r="25" spans="1:19" ht="21" customHeight="1" x14ac:dyDescent="0.25">
      <c r="A25" s="1" t="str">
        <f>IF(OR(B1=2020,B1=2021,B1=2022,B1="ab 7/2022",B1="bis 06/2023"),"Steuerlich begünstigtes Einkommen eingeben!","Steuerlich begünstigtes Einkommen nicht eingeben!")</f>
        <v>Steuerlich begünstigtes Einkommen nicht eingeben!</v>
      </c>
      <c r="B25" s="33">
        <v>0</v>
      </c>
      <c r="C25" s="33">
        <v>0</v>
      </c>
      <c r="D25" s="33">
        <v>0</v>
      </c>
      <c r="E25" s="33">
        <v>0</v>
      </c>
      <c r="F25" s="33">
        <v>0</v>
      </c>
      <c r="G25" s="33">
        <v>0</v>
      </c>
      <c r="H25" s="348"/>
      <c r="K25">
        <f>$K$20/($K$20+J13*$K$21)</f>
        <v>0.52941176470588236</v>
      </c>
      <c r="P25" s="103"/>
      <c r="Q25" s="104"/>
      <c r="R25" s="103"/>
      <c r="S25" s="103"/>
    </row>
    <row r="26" spans="1:19" ht="30" hidden="1" x14ac:dyDescent="0.25">
      <c r="A26" s="1" t="str">
        <f>IF(OR(B1=2020,B1=2021,B1=2022,B1=AB7/2022,B1=2023),"Steuerlich begünstigtes Einkommen eingeben!","Steuerlich begünstigtes Einkommen nicht eingeben!")</f>
        <v>Steuerlich begünstigtes Einkommen nicht eingeben!</v>
      </c>
      <c r="B26" s="60">
        <f t="shared" ref="B26:G26" si="3">IF($B1="ab 7/2023",0,B25)</f>
        <v>0</v>
      </c>
      <c r="C26" s="60">
        <f t="shared" si="3"/>
        <v>0</v>
      </c>
      <c r="D26" s="60">
        <f t="shared" si="3"/>
        <v>0</v>
      </c>
      <c r="E26" s="60">
        <f t="shared" si="3"/>
        <v>0</v>
      </c>
      <c r="F26" s="60">
        <f t="shared" si="3"/>
        <v>0</v>
      </c>
      <c r="G26" s="60">
        <f t="shared" si="3"/>
        <v>0</v>
      </c>
      <c r="H26" s="348"/>
      <c r="P26" s="103"/>
      <c r="Q26" s="104"/>
      <c r="R26" s="103"/>
      <c r="S26" s="103"/>
    </row>
    <row r="27" spans="1:19" x14ac:dyDescent="0.25">
      <c r="A27" s="1" t="s">
        <v>27</v>
      </c>
      <c r="B27" s="3">
        <f t="shared" ref="B27:G27" si="4">B24+B26</f>
        <v>0</v>
      </c>
      <c r="C27" s="3">
        <f>C24+C26</f>
        <v>0</v>
      </c>
      <c r="D27" s="3">
        <f t="shared" si="4"/>
        <v>0</v>
      </c>
      <c r="E27" s="3">
        <f t="shared" si="4"/>
        <v>0</v>
      </c>
      <c r="F27" s="3">
        <f t="shared" si="4"/>
        <v>0</v>
      </c>
      <c r="G27" s="3">
        <f t="shared" si="4"/>
        <v>0</v>
      </c>
      <c r="H27" s="354">
        <f>SUM(B27:G27)/6</f>
        <v>0</v>
      </c>
      <c r="K27">
        <f>$K$20/($K$20+J14*$K$21)</f>
        <v>0.4576271186440678</v>
      </c>
      <c r="P27" s="103"/>
      <c r="Q27" s="104"/>
      <c r="R27" s="103"/>
      <c r="S27" s="103"/>
    </row>
    <row r="28" spans="1:19" ht="31.35" customHeight="1" x14ac:dyDescent="0.25">
      <c r="A28" s="1" t="s">
        <v>28</v>
      </c>
      <c r="B28" s="33">
        <v>0</v>
      </c>
      <c r="C28" s="33">
        <v>0</v>
      </c>
      <c r="D28" s="33">
        <v>0</v>
      </c>
      <c r="E28" s="33">
        <v>0</v>
      </c>
      <c r="F28" s="33">
        <v>0</v>
      </c>
      <c r="G28" s="33">
        <v>0</v>
      </c>
      <c r="H28" s="348"/>
      <c r="K28">
        <f>$K$20/($K$20+J15*$K$21)</f>
        <v>0.40298507462686567</v>
      </c>
      <c r="P28" s="103"/>
      <c r="Q28" s="104"/>
      <c r="R28" s="103"/>
      <c r="S28" s="103"/>
    </row>
    <row r="29" spans="1:19" x14ac:dyDescent="0.25">
      <c r="A29" s="1" t="s">
        <v>29</v>
      </c>
      <c r="B29" s="33">
        <v>0</v>
      </c>
      <c r="C29" s="33">
        <v>0</v>
      </c>
      <c r="D29" s="33">
        <v>0</v>
      </c>
      <c r="E29" s="33">
        <v>0</v>
      </c>
      <c r="F29" s="33">
        <v>0</v>
      </c>
      <c r="G29" s="33">
        <v>0</v>
      </c>
      <c r="H29" s="348"/>
      <c r="K29">
        <f>$K$20/($K$20+J16*$K$21)</f>
        <v>0.36</v>
      </c>
      <c r="P29" s="103"/>
      <c r="Q29" s="104"/>
      <c r="R29" s="103"/>
      <c r="S29" s="103"/>
    </row>
    <row r="30" spans="1:19" hidden="1" x14ac:dyDescent="0.25">
      <c r="A30" s="1" t="s">
        <v>30</v>
      </c>
      <c r="B30" s="33">
        <f>IF(AND(B118=TRUE,OR($B1="ab 7/2023",$B1=2024,$B1=2025,$B1=2026)),B27-B125,IF('SGB II alleinstehend -erziehend'!$Z$1=0,'KiZ-alleinerziehend'!B27-B114,B27-'KiZ-alleinerziehend'!J114))</f>
        <v>0</v>
      </c>
      <c r="C30" s="33">
        <f>IF(AND(C118=TRUE,OR($B1="ab 7/2023",$B1=2024,$B1=2025,$B1=2026)),C27-C125,IF('SGB II alleinstehend -erziehend'!$Z$1=0,'KiZ-alleinerziehend'!C27-C114,C27-'KiZ-alleinerziehend'!K114))</f>
        <v>0</v>
      </c>
      <c r="D30" s="33">
        <f>IF(AND(D118=TRUE,OR($B1="ab 7/2023",$B1=2024,$B1=2025,$B1=2026)),D27-D125,IF('SGB II alleinstehend -erziehend'!$Z$1=0,'KiZ-alleinerziehend'!D27-D114,D27-'KiZ-alleinerziehend'!L114))</f>
        <v>0</v>
      </c>
      <c r="E30" s="33">
        <f>IF(AND(E118=TRUE,OR($B1="ab 7/2023",$B1=2024,$B1=2025,$B1=2026)),E27-E125,IF('SGB II alleinstehend -erziehend'!$Z$1=0,'KiZ-alleinerziehend'!E27-E114,E27-'KiZ-alleinerziehend'!M114))</f>
        <v>0</v>
      </c>
      <c r="F30" s="33">
        <f>IF(AND(F118=TRUE,OR($B1="ab 7/2023",$B1=2024,$B1=2025,$B1=2026)),F27-F125,IF('SGB II alleinstehend -erziehend'!$Z$1=0,'KiZ-alleinerziehend'!F27-F114,F27-'KiZ-alleinerziehend'!N114))</f>
        <v>0</v>
      </c>
      <c r="G30" s="33">
        <f>IF(AND(G118=TRUE,OR($B1="ab 7/2023",$B1=2024,$B1=2025,$B1=2026)),G27-G125,IF('SGB II alleinstehend -erziehend'!$Z$1=0,'KiZ-alleinerziehend'!G27-G114,G27-'KiZ-alleinerziehend'!O114))</f>
        <v>0</v>
      </c>
      <c r="H30" s="348"/>
      <c r="P30" s="357"/>
      <c r="Q30" s="358"/>
      <c r="R30" s="357"/>
      <c r="S30" s="357"/>
    </row>
    <row r="31" spans="1:19" x14ac:dyDescent="0.25">
      <c r="A31" s="1" t="s">
        <v>30</v>
      </c>
      <c r="B31" s="3">
        <f t="shared" ref="B31:G31" si="5">IF(B30&gt;0,B30,0)</f>
        <v>0</v>
      </c>
      <c r="C31" s="3">
        <f t="shared" si="5"/>
        <v>0</v>
      </c>
      <c r="D31" s="3">
        <f t="shared" si="5"/>
        <v>0</v>
      </c>
      <c r="E31" s="3">
        <f t="shared" si="5"/>
        <v>0</v>
      </c>
      <c r="F31" s="3">
        <f t="shared" si="5"/>
        <v>0</v>
      </c>
      <c r="G31" s="3">
        <f t="shared" si="5"/>
        <v>0</v>
      </c>
      <c r="H31" s="354">
        <f>SUM(B31:G31)/6</f>
        <v>0</v>
      </c>
      <c r="I31" s="88" t="s">
        <v>31</v>
      </c>
      <c r="J31" s="55"/>
      <c r="K31" s="55">
        <f>$K$20/($K$20+J17*$K$21)</f>
        <v>0.3253012048192771</v>
      </c>
      <c r="L31" s="56"/>
      <c r="M31" s="55"/>
      <c r="N31" s="55"/>
      <c r="O31" s="55"/>
    </row>
    <row r="32" spans="1:19" x14ac:dyDescent="0.25">
      <c r="G32" s="2" t="s">
        <v>32</v>
      </c>
      <c r="H32" s="354">
        <f>H27-H31</f>
        <v>0</v>
      </c>
      <c r="I32" s="36">
        <f>(B14-B33)*0.45</f>
        <v>253.35</v>
      </c>
    </row>
    <row r="33" spans="1:33" x14ac:dyDescent="0.25">
      <c r="A33" s="46" t="s">
        <v>33</v>
      </c>
      <c r="B33" s="48">
        <f>(B31+C31+D31+E31+F31+G31)/6</f>
        <v>0</v>
      </c>
      <c r="C33" s="49"/>
      <c r="D33" s="49"/>
      <c r="E33" s="50"/>
      <c r="F33" s="50"/>
      <c r="G33" s="50"/>
      <c r="I33" s="36"/>
      <c r="N33" s="250"/>
      <c r="O33" s="250"/>
      <c r="P33" s="250"/>
      <c r="Q33" s="251"/>
      <c r="R33" s="250"/>
      <c r="S33" s="250"/>
      <c r="Z33" t="s">
        <v>34</v>
      </c>
      <c r="AA33" s="13" t="s">
        <v>35</v>
      </c>
      <c r="AB33" s="13" t="s">
        <v>36</v>
      </c>
      <c r="AC33" s="13" t="s">
        <v>37</v>
      </c>
      <c r="AD33" s="13" t="s">
        <v>38</v>
      </c>
      <c r="AE33" s="13" t="s">
        <v>39</v>
      </c>
      <c r="AF33" s="13" t="s">
        <v>40</v>
      </c>
      <c r="AG33" s="13" t="s">
        <v>41</v>
      </c>
    </row>
    <row r="34" spans="1:33" hidden="1" x14ac:dyDescent="0.25">
      <c r="A34" s="35" t="s">
        <v>42</v>
      </c>
      <c r="B34" s="8"/>
      <c r="N34" s="250"/>
      <c r="O34" s="250"/>
      <c r="P34" s="250"/>
      <c r="Q34" s="251"/>
      <c r="R34" s="250"/>
      <c r="S34" s="250"/>
      <c r="AD34" s="2"/>
    </row>
    <row r="35" spans="1:33" hidden="1" x14ac:dyDescent="0.25">
      <c r="B35" t="s">
        <v>43</v>
      </c>
      <c r="C35" t="s">
        <v>44</v>
      </c>
      <c r="D35" t="s">
        <v>45</v>
      </c>
      <c r="E35" t="s">
        <v>46</v>
      </c>
      <c r="F35" t="s">
        <v>47</v>
      </c>
      <c r="G35" t="s">
        <v>48</v>
      </c>
      <c r="N35" s="250"/>
      <c r="O35" s="250"/>
      <c r="P35" s="250"/>
      <c r="Q35" s="251"/>
      <c r="R35" s="250"/>
      <c r="S35" s="250"/>
      <c r="AD35" s="2"/>
    </row>
    <row r="36" spans="1:33" hidden="1" x14ac:dyDescent="0.25">
      <c r="A36" s="1" t="s">
        <v>25</v>
      </c>
      <c r="B36" s="33">
        <v>0</v>
      </c>
      <c r="C36" s="33">
        <v>0</v>
      </c>
      <c r="D36" s="33">
        <v>0</v>
      </c>
      <c r="E36" s="33">
        <v>0</v>
      </c>
      <c r="F36" s="33">
        <v>0</v>
      </c>
      <c r="G36" s="33">
        <v>0</v>
      </c>
      <c r="N36" s="250"/>
      <c r="O36" s="250"/>
      <c r="P36" s="250"/>
      <c r="Q36" s="251"/>
      <c r="R36" s="250"/>
      <c r="S36" s="250"/>
      <c r="AD36" s="2"/>
    </row>
    <row r="37" spans="1:33" hidden="1" x14ac:dyDescent="0.25">
      <c r="A37" s="1" t="s">
        <v>26</v>
      </c>
      <c r="B37" s="33">
        <v>0</v>
      </c>
      <c r="C37" s="33">
        <v>0</v>
      </c>
      <c r="D37" s="33">
        <v>0</v>
      </c>
      <c r="E37" s="33">
        <v>0</v>
      </c>
      <c r="F37" s="33">
        <v>0</v>
      </c>
      <c r="G37" s="33">
        <v>0</v>
      </c>
      <c r="N37" s="250"/>
      <c r="O37" s="250"/>
      <c r="P37" s="250"/>
      <c r="Q37" s="251"/>
      <c r="R37" s="250"/>
      <c r="S37" s="250"/>
      <c r="AD37" s="2"/>
    </row>
    <row r="38" spans="1:33" hidden="1" x14ac:dyDescent="0.25">
      <c r="A38" s="1" t="s">
        <v>49</v>
      </c>
      <c r="B38" s="33">
        <v>0</v>
      </c>
      <c r="C38" s="33">
        <v>0</v>
      </c>
      <c r="D38" s="33">
        <v>0</v>
      </c>
      <c r="E38" s="33">
        <v>0</v>
      </c>
      <c r="F38" s="33">
        <v>0</v>
      </c>
      <c r="G38" s="33">
        <v>0</v>
      </c>
      <c r="N38" s="250"/>
      <c r="O38" s="250"/>
      <c r="P38" s="250"/>
      <c r="Q38" s="251"/>
      <c r="R38" s="250"/>
      <c r="S38" s="250"/>
      <c r="AD38" s="2"/>
    </row>
    <row r="39" spans="1:33" hidden="1" x14ac:dyDescent="0.25">
      <c r="A39" s="1" t="s">
        <v>27</v>
      </c>
      <c r="B39" s="3">
        <v>0</v>
      </c>
      <c r="C39" s="3">
        <v>0</v>
      </c>
      <c r="D39" s="3">
        <v>0</v>
      </c>
      <c r="E39" s="3">
        <v>0</v>
      </c>
      <c r="F39" s="3">
        <v>0</v>
      </c>
      <c r="G39" s="3">
        <v>0</v>
      </c>
      <c r="N39" s="250"/>
      <c r="O39" s="250"/>
      <c r="P39" s="250"/>
      <c r="Q39" s="251"/>
      <c r="R39" s="250"/>
      <c r="S39" s="250"/>
      <c r="AD39" s="2"/>
    </row>
    <row r="40" spans="1:33" ht="30" hidden="1" x14ac:dyDescent="0.25">
      <c r="A40" s="1" t="s">
        <v>28</v>
      </c>
      <c r="B40" s="33">
        <v>0</v>
      </c>
      <c r="C40" s="33">
        <v>0</v>
      </c>
      <c r="D40" s="33">
        <v>0</v>
      </c>
      <c r="E40" s="33">
        <v>0</v>
      </c>
      <c r="F40" s="33"/>
      <c r="G40" s="33">
        <v>0</v>
      </c>
      <c r="N40" s="250"/>
      <c r="O40" s="250"/>
      <c r="P40" s="250"/>
      <c r="Q40" s="251"/>
      <c r="R40" s="250"/>
      <c r="S40" s="250"/>
      <c r="AD40" s="2"/>
    </row>
    <row r="41" spans="1:33" hidden="1" x14ac:dyDescent="0.25">
      <c r="A41" s="1" t="s">
        <v>30</v>
      </c>
      <c r="B41" s="3">
        <v>0</v>
      </c>
      <c r="C41" s="3">
        <v>0</v>
      </c>
      <c r="D41" s="3">
        <v>0</v>
      </c>
      <c r="E41" s="3">
        <v>0</v>
      </c>
      <c r="F41" s="3">
        <v>0</v>
      </c>
      <c r="G41" s="3">
        <v>0</v>
      </c>
      <c r="I41" t="s">
        <v>31</v>
      </c>
      <c r="N41" s="250"/>
      <c r="O41" s="250"/>
      <c r="P41" s="250"/>
      <c r="Q41" s="251"/>
      <c r="R41" s="250"/>
      <c r="S41" s="250"/>
      <c r="AD41" s="2"/>
    </row>
    <row r="42" spans="1:33" hidden="1" x14ac:dyDescent="0.25">
      <c r="I42" s="36">
        <f>(B24-B43)*0.45</f>
        <v>0</v>
      </c>
      <c r="N42" s="250"/>
      <c r="O42" s="250"/>
      <c r="P42" s="250"/>
      <c r="Q42" s="251"/>
      <c r="R42" s="250"/>
      <c r="S42" s="250"/>
      <c r="AD42" s="2"/>
    </row>
    <row r="43" spans="1:33" hidden="1" x14ac:dyDescent="0.25">
      <c r="A43" s="35" t="s">
        <v>33</v>
      </c>
      <c r="B43" s="8">
        <f>(B41+C41+D41+E41+F41+G41)/6</f>
        <v>0</v>
      </c>
      <c r="N43" s="250"/>
      <c r="O43" s="250"/>
      <c r="P43" s="250"/>
      <c r="Q43" s="251"/>
      <c r="R43" s="250"/>
      <c r="S43" s="250"/>
      <c r="AD43" s="2"/>
    </row>
    <row r="44" spans="1:33" x14ac:dyDescent="0.25">
      <c r="N44" s="250"/>
      <c r="O44" s="250"/>
      <c r="P44" s="250"/>
      <c r="Q44" s="251"/>
      <c r="R44" s="250"/>
      <c r="S44" s="250"/>
      <c r="AD44" s="2"/>
    </row>
    <row r="45" spans="1:33" x14ac:dyDescent="0.25">
      <c r="A45" s="397" t="s">
        <v>50</v>
      </c>
      <c r="B45" s="398"/>
      <c r="C45" s="398"/>
      <c r="D45" s="398"/>
      <c r="E45" s="398"/>
      <c r="G45" s="47"/>
      <c r="N45" s="250"/>
      <c r="O45" s="250"/>
      <c r="P45" s="250"/>
      <c r="Q45" s="251"/>
      <c r="R45" s="250"/>
      <c r="S45" s="250"/>
      <c r="Z45">
        <f>SUM(AA45:AG45)</f>
        <v>0</v>
      </c>
      <c r="AA45">
        <f t="shared" ref="AA45:AG45" si="6">IF(C10&gt;0,1,0)</f>
        <v>0</v>
      </c>
      <c r="AB45">
        <f t="shared" si="6"/>
        <v>0</v>
      </c>
      <c r="AC45">
        <f t="shared" si="6"/>
        <v>0</v>
      </c>
      <c r="AD45">
        <f t="shared" si="6"/>
        <v>0</v>
      </c>
      <c r="AE45">
        <f t="shared" si="6"/>
        <v>0</v>
      </c>
      <c r="AF45">
        <f t="shared" si="6"/>
        <v>0</v>
      </c>
      <c r="AG45">
        <f t="shared" si="6"/>
        <v>0</v>
      </c>
    </row>
    <row r="46" spans="1:33" ht="30" x14ac:dyDescent="0.25">
      <c r="A46" s="1" t="s">
        <v>51</v>
      </c>
      <c r="B46" s="33">
        <v>0</v>
      </c>
      <c r="C46" s="33">
        <v>0</v>
      </c>
      <c r="D46" s="33">
        <v>0</v>
      </c>
      <c r="E46" s="33">
        <v>0</v>
      </c>
      <c r="F46" s="33">
        <v>0</v>
      </c>
      <c r="G46" s="33">
        <v>0</v>
      </c>
      <c r="I46" s="3"/>
      <c r="K46" t="s">
        <v>52</v>
      </c>
      <c r="N46" s="250"/>
      <c r="O46" s="250"/>
      <c r="P46" s="250"/>
      <c r="Q46" s="251"/>
      <c r="R46" s="250"/>
      <c r="S46" s="250"/>
      <c r="W46" t="s">
        <v>53</v>
      </c>
      <c r="Z46">
        <f>SUM(AA46:AG46)</f>
        <v>7</v>
      </c>
      <c r="AA46">
        <f>IF(('SGB II alleinstehend -erziehend'!D46-'SGB II alleinstehend -erziehend'!D33)*0.45+'SGB II alleinstehend -erziehend'!D33&gt;'SGB II alleinstehend -erziehend'!D11,0,1)</f>
        <v>1</v>
      </c>
      <c r="AB46">
        <f>IF(('SGB II alleinstehend -erziehend'!E46-'SGB II alleinstehend -erziehend'!E33)*0.45+'SGB II alleinstehend -erziehend'!E33&gt;'SGB II alleinstehend -erziehend'!E11,0,1)</f>
        <v>1</v>
      </c>
      <c r="AC46">
        <f>IF(('SGB II alleinstehend -erziehend'!F46-'SGB II alleinstehend -erziehend'!F33)*0.45+'SGB II alleinstehend -erziehend'!F33&gt;'SGB II alleinstehend -erziehend'!F11,0,1)</f>
        <v>1</v>
      </c>
      <c r="AD46">
        <f>IF(('SGB II alleinstehend -erziehend'!G46-'SGB II alleinstehend -erziehend'!G33)*0.45+'SGB II alleinstehend -erziehend'!G33&gt;'SGB II alleinstehend -erziehend'!G11,0,1)</f>
        <v>1</v>
      </c>
      <c r="AE46">
        <f>IF(('SGB II alleinstehend -erziehend'!H46-'SGB II alleinstehend -erziehend'!H33)*0.45+'SGB II alleinstehend -erziehend'!H33&gt;'SGB II alleinstehend -erziehend'!H11,0,1)</f>
        <v>1</v>
      </c>
      <c r="AF46">
        <f>IF(('SGB II alleinstehend -erziehend'!I46-'SGB II alleinstehend -erziehend'!I33)*0.45+'SGB II alleinstehend -erziehend'!I33&gt;'SGB II alleinstehend -erziehend'!I11,0,1)</f>
        <v>1</v>
      </c>
      <c r="AG46">
        <f>IF(('SGB II alleinstehend -erziehend'!J46-'SGB II alleinstehend -erziehend'!J33)*0.45+'SGB II alleinstehend -erziehend'!J33&gt;'SGB II alleinstehend -erziehend'!J11,0,1)</f>
        <v>1</v>
      </c>
    </row>
    <row r="47" spans="1:33" ht="33.75" customHeight="1" x14ac:dyDescent="0.25">
      <c r="A47" s="34" t="s">
        <v>54</v>
      </c>
      <c r="B47" s="33">
        <v>0</v>
      </c>
      <c r="C47" s="33">
        <v>0</v>
      </c>
      <c r="D47" s="33">
        <v>0</v>
      </c>
      <c r="E47" s="33">
        <v>0</v>
      </c>
      <c r="F47" s="33">
        <v>0</v>
      </c>
      <c r="G47" s="33">
        <v>0</v>
      </c>
      <c r="J47" s="251"/>
      <c r="K47" s="251"/>
      <c r="L47" s="251"/>
      <c r="M47" s="251"/>
      <c r="N47" s="251"/>
      <c r="O47" s="251"/>
      <c r="P47" s="251"/>
      <c r="Q47" s="251"/>
      <c r="R47" s="250"/>
      <c r="S47" s="250"/>
      <c r="W47" t="s">
        <v>55</v>
      </c>
      <c r="Z47">
        <f>SUM(AA47:AG47)</f>
        <v>7</v>
      </c>
      <c r="AA47">
        <f>IF(ISBLANK(C7),AA46,IF(C7*0.45+'SGB II alleinstehend -erziehend'!D33&gt;'SGB II alleinstehend -erziehend'!D11,0,1))</f>
        <v>1</v>
      </c>
      <c r="AB47">
        <f>IF(ISBLANK(D7),AB46,IF(D7*0.45+'SGB II alleinstehend -erziehend'!E33&gt;'SGB II alleinstehend -erziehend'!E11,0,1))</f>
        <v>1</v>
      </c>
      <c r="AC47">
        <f>IF(ISBLANK(E7),AC46,IF(E7*0.45+'SGB II alleinstehend -erziehend'!F33&gt;'SGB II alleinstehend -erziehend'!F11,0,1))</f>
        <v>1</v>
      </c>
      <c r="AD47">
        <f>IF(ISBLANK(F7),AD46,IF(F7*0.45+'SGB II alleinstehend -erziehend'!G33&gt;'SGB II alleinstehend -erziehend'!G11,0,1))</f>
        <v>1</v>
      </c>
      <c r="AE47">
        <f>IF(ISBLANK(G7),AE46,IF(G7*0.45+'SGB II alleinstehend -erziehend'!H33&gt;'SGB II alleinstehend -erziehend'!H11,0,1))</f>
        <v>1</v>
      </c>
      <c r="AF47">
        <f>IF(ISBLANK(H7),AF46,IF(H7*0.45+'SGB II alleinstehend -erziehend'!I33&gt;'SGB II alleinstehend -erziehend'!I11,0,1))</f>
        <v>1</v>
      </c>
      <c r="AG47">
        <f>IF(ISBLANK(I7),AG46,IF(I7*0.45+'SGB II alleinstehend -erziehend'!J33&gt;'SGB II alleinstehend -erziehend'!J11,0,1))</f>
        <v>1</v>
      </c>
    </row>
    <row r="48" spans="1:33" ht="30" x14ac:dyDescent="0.25">
      <c r="A48" s="1" t="s">
        <v>56</v>
      </c>
      <c r="B48" s="33">
        <v>0</v>
      </c>
      <c r="C48" s="33">
        <v>0</v>
      </c>
      <c r="D48" s="33">
        <v>0</v>
      </c>
      <c r="E48" s="33">
        <v>0</v>
      </c>
      <c r="F48" s="33">
        <v>0</v>
      </c>
      <c r="G48" s="33">
        <v>0</v>
      </c>
      <c r="J48" s="251"/>
      <c r="K48" s="251"/>
      <c r="L48" s="251"/>
      <c r="M48" s="251"/>
      <c r="N48" s="251"/>
      <c r="O48" s="251"/>
      <c r="P48" s="251"/>
      <c r="Q48" s="251"/>
      <c r="R48" s="250"/>
      <c r="S48" s="250"/>
      <c r="W48" t="s">
        <v>57</v>
      </c>
      <c r="Z48">
        <f>SUM(AA48:AG48)</f>
        <v>0</v>
      </c>
      <c r="AA48">
        <f>IF(AND(AA47=1,'SGB II alleinstehend -erziehend'!D33&gt;0),'KiZ-alleinerziehend'!AA47,0)</f>
        <v>0</v>
      </c>
      <c r="AB48">
        <f>IF(AND(AB47=1,'SGB II alleinstehend -erziehend'!E33&gt;0),'KiZ-alleinerziehend'!AB47,0)</f>
        <v>0</v>
      </c>
      <c r="AC48">
        <f>IF(AND(AC47=1,'SGB II alleinstehend -erziehend'!F33&gt;0),'KiZ-alleinerziehend'!AC47,0)</f>
        <v>0</v>
      </c>
      <c r="AD48">
        <f>IF(AND(AD47=1,'SGB II alleinstehend -erziehend'!G33&gt;0),'KiZ-alleinerziehend'!AD47,0)</f>
        <v>0</v>
      </c>
      <c r="AE48">
        <f>IF(AND(AE47=1,'SGB II alleinstehend -erziehend'!H33&gt;0),'KiZ-alleinerziehend'!AE47,0)</f>
        <v>0</v>
      </c>
      <c r="AF48">
        <f>IF(AND(AF47=1,'SGB II alleinstehend -erziehend'!I33&gt;0),'KiZ-alleinerziehend'!AF47,0)</f>
        <v>0</v>
      </c>
      <c r="AG48">
        <f>IF(AND(AG47=1,'SGB II alleinstehend -erziehend'!J33&gt;0),'KiZ-alleinerziehend'!AG47,0)</f>
        <v>0</v>
      </c>
    </row>
    <row r="49" spans="1:26" x14ac:dyDescent="0.25">
      <c r="A49" s="1" t="s">
        <v>58</v>
      </c>
      <c r="B49" s="3">
        <f t="shared" ref="B49:G49" si="7">IF(B46-B47-B48&gt;0,B46-B47-B48,0)</f>
        <v>0</v>
      </c>
      <c r="C49" s="3">
        <f t="shared" si="7"/>
        <v>0</v>
      </c>
      <c r="D49" s="3">
        <f t="shared" si="7"/>
        <v>0</v>
      </c>
      <c r="E49" s="3">
        <f t="shared" si="7"/>
        <v>0</v>
      </c>
      <c r="F49" s="3">
        <f t="shared" si="7"/>
        <v>0</v>
      </c>
      <c r="G49" s="3">
        <f t="shared" si="7"/>
        <v>0</v>
      </c>
      <c r="J49" t="s">
        <v>59</v>
      </c>
      <c r="K49">
        <f t="shared" ref="K49:P49" si="8">IF(B23&gt;100,100,B23)</f>
        <v>0</v>
      </c>
      <c r="L49">
        <f t="shared" si="8"/>
        <v>0</v>
      </c>
      <c r="M49">
        <f t="shared" si="8"/>
        <v>0</v>
      </c>
      <c r="N49">
        <f t="shared" si="8"/>
        <v>0</v>
      </c>
      <c r="O49">
        <f t="shared" si="8"/>
        <v>0</v>
      </c>
      <c r="P49">
        <f t="shared" si="8"/>
        <v>0</v>
      </c>
      <c r="Q49" s="251"/>
      <c r="R49" s="250"/>
      <c r="S49" s="250"/>
    </row>
    <row r="50" spans="1:26" x14ac:dyDescent="0.25">
      <c r="A50" s="46" t="s">
        <v>60</v>
      </c>
      <c r="B50" s="48">
        <f>(B49+C49+D49+E49+F49+G49)/6</f>
        <v>0</v>
      </c>
      <c r="C50" s="49"/>
      <c r="D50" s="49"/>
      <c r="E50" s="50"/>
      <c r="F50" s="50"/>
      <c r="G50" s="50"/>
      <c r="J50" t="s">
        <v>61</v>
      </c>
      <c r="K50">
        <f t="shared" ref="K50:P50" si="9">IF(B26&lt;250,B26,250)</f>
        <v>0</v>
      </c>
      <c r="L50">
        <f t="shared" si="9"/>
        <v>0</v>
      </c>
      <c r="M50">
        <f t="shared" si="9"/>
        <v>0</v>
      </c>
      <c r="N50">
        <f t="shared" si="9"/>
        <v>0</v>
      </c>
      <c r="O50">
        <f t="shared" si="9"/>
        <v>0</v>
      </c>
      <c r="P50">
        <f t="shared" si="9"/>
        <v>0</v>
      </c>
      <c r="Q50" s="251"/>
      <c r="R50" s="250"/>
      <c r="S50" s="250"/>
      <c r="Z50">
        <f>Z48</f>
        <v>0</v>
      </c>
    </row>
    <row r="51" spans="1:26" ht="11.25" customHeight="1" x14ac:dyDescent="0.25">
      <c r="J51" t="s">
        <v>62</v>
      </c>
      <c r="K51">
        <f t="shared" ref="K51:P51" si="10">IF(K49+K50&gt;250,250,K49+K50)</f>
        <v>0</v>
      </c>
      <c r="L51">
        <f t="shared" si="10"/>
        <v>0</v>
      </c>
      <c r="M51">
        <f t="shared" si="10"/>
        <v>0</v>
      </c>
      <c r="N51">
        <f t="shared" si="10"/>
        <v>0</v>
      </c>
      <c r="O51">
        <f t="shared" si="10"/>
        <v>0</v>
      </c>
      <c r="P51">
        <f t="shared" si="10"/>
        <v>0</v>
      </c>
      <c r="Q51" s="251"/>
      <c r="R51" s="250"/>
      <c r="S51" s="250"/>
    </row>
    <row r="52" spans="1:26" x14ac:dyDescent="0.25">
      <c r="A52" s="396" t="s">
        <v>63</v>
      </c>
      <c r="B52" s="396"/>
      <c r="C52" s="396"/>
      <c r="D52" s="396"/>
      <c r="E52" s="396"/>
      <c r="F52" s="396"/>
      <c r="G52" s="396"/>
      <c r="N52" s="250"/>
      <c r="O52" s="250"/>
      <c r="P52" s="250"/>
      <c r="Q52" s="251"/>
      <c r="R52" s="250"/>
      <c r="S52" s="250"/>
    </row>
    <row r="53" spans="1:26" ht="15" customHeight="1" x14ac:dyDescent="0.25">
      <c r="A53" s="1" t="s">
        <v>64</v>
      </c>
      <c r="B53" s="3">
        <f>IF(B50+B33+B43&lt;B14,0,B33+B50+B43-B14)</f>
        <v>0</v>
      </c>
      <c r="N53" s="250"/>
      <c r="O53" s="250"/>
      <c r="P53" s="250"/>
      <c r="Q53" s="251"/>
      <c r="R53" s="250"/>
      <c r="S53" s="250"/>
    </row>
    <row r="54" spans="1:26" ht="15" hidden="1" customHeight="1" x14ac:dyDescent="0.25">
      <c r="A54" s="1" t="s">
        <v>65</v>
      </c>
      <c r="B54" s="3">
        <f>IF(B50&gt;B14,B50-B14+0.45*(B33+B43),0.45*(B50+B33+B43-B14))</f>
        <v>-253.35</v>
      </c>
      <c r="N54" s="250"/>
      <c r="O54" s="250"/>
      <c r="P54" s="250"/>
      <c r="Q54" s="251"/>
      <c r="R54" s="250"/>
      <c r="S54" s="250"/>
    </row>
    <row r="55" spans="1:26" x14ac:dyDescent="0.25">
      <c r="A55" s="1" t="s">
        <v>66</v>
      </c>
      <c r="B55" s="3">
        <f>IF(B54&gt;0,B54,0)</f>
        <v>0</v>
      </c>
      <c r="N55" s="250"/>
      <c r="O55" s="250"/>
      <c r="P55" s="250"/>
      <c r="Q55" s="251"/>
      <c r="R55" s="250"/>
      <c r="S55" s="250"/>
    </row>
    <row r="56" spans="1:26" x14ac:dyDescent="0.25">
      <c r="A56" s="1" t="s">
        <v>67</v>
      </c>
      <c r="B56" s="3">
        <f>IF(B10-B55&gt;0,B10-B55,0)</f>
        <v>0</v>
      </c>
      <c r="N56" s="250"/>
      <c r="O56" s="250"/>
      <c r="P56" s="250"/>
      <c r="Q56" s="251"/>
      <c r="R56" s="250"/>
      <c r="S56" s="250"/>
    </row>
    <row r="57" spans="1:26" ht="15" customHeight="1" x14ac:dyDescent="0.25">
      <c r="A57" s="1" t="s">
        <v>434</v>
      </c>
      <c r="B57" s="33">
        <v>0</v>
      </c>
      <c r="N57" s="250"/>
      <c r="O57" s="250"/>
      <c r="P57" s="250"/>
      <c r="Q57" s="251"/>
      <c r="R57" s="250"/>
      <c r="S57" s="250"/>
    </row>
    <row r="58" spans="1:26" ht="20.25" customHeight="1" x14ac:dyDescent="0.25">
      <c r="A58" s="26" t="s">
        <v>68</v>
      </c>
      <c r="B58" s="33">
        <v>0</v>
      </c>
      <c r="N58" s="250"/>
      <c r="O58" s="250"/>
      <c r="P58" s="250"/>
      <c r="Q58" s="251"/>
      <c r="R58" s="250"/>
      <c r="S58" s="250"/>
    </row>
    <row r="59" spans="1:26" ht="15.95" hidden="1" customHeight="1" x14ac:dyDescent="0.25">
      <c r="A59" s="26" t="s">
        <v>434</v>
      </c>
      <c r="B59" s="33">
        <v>0</v>
      </c>
      <c r="C59" s="77"/>
      <c r="N59" s="250"/>
      <c r="O59" s="250"/>
      <c r="P59" s="250"/>
      <c r="Q59" s="251"/>
      <c r="R59" s="250"/>
      <c r="S59" s="250"/>
    </row>
    <row r="60" spans="1:26" x14ac:dyDescent="0.25">
      <c r="A60" s="396" t="s">
        <v>69</v>
      </c>
      <c r="B60" s="399"/>
      <c r="C60" s="399"/>
      <c r="D60" s="399"/>
      <c r="N60" s="250"/>
      <c r="O60" s="250"/>
      <c r="P60" s="250"/>
      <c r="Q60" s="251"/>
      <c r="R60" s="250"/>
      <c r="S60" s="250"/>
    </row>
    <row r="61" spans="1:26" ht="15.75" x14ac:dyDescent="0.25">
      <c r="A61" s="37" t="s">
        <v>70</v>
      </c>
      <c r="B61" s="38">
        <f>B81</f>
        <v>0</v>
      </c>
      <c r="N61" s="250"/>
      <c r="O61" s="250"/>
      <c r="P61" s="250"/>
      <c r="Q61" s="251"/>
      <c r="R61" s="250"/>
      <c r="S61" s="250"/>
    </row>
    <row r="62" spans="1:26" x14ac:dyDescent="0.25">
      <c r="N62" s="250"/>
      <c r="O62" s="250"/>
      <c r="P62" s="250"/>
      <c r="Q62" s="251"/>
      <c r="R62" s="250"/>
      <c r="S62" s="250"/>
    </row>
    <row r="63" spans="1:26" hidden="1" x14ac:dyDescent="0.25">
      <c r="N63" s="250"/>
      <c r="O63" s="250"/>
      <c r="P63" s="250"/>
      <c r="Q63" s="251"/>
      <c r="R63" s="250"/>
      <c r="S63" s="250"/>
    </row>
    <row r="64" spans="1:26" ht="39.75" customHeight="1" x14ac:dyDescent="0.3">
      <c r="A64" s="392" t="s">
        <v>403</v>
      </c>
      <c r="B64" s="392"/>
      <c r="C64" s="392"/>
      <c r="D64" s="392"/>
      <c r="E64" s="392"/>
      <c r="F64" s="392"/>
      <c r="G64" s="392"/>
      <c r="H64" s="392"/>
      <c r="I64" s="392"/>
      <c r="N64" s="250"/>
      <c r="O64" s="250"/>
      <c r="P64" s="250"/>
      <c r="Q64" s="251"/>
      <c r="R64" s="250"/>
      <c r="S64" s="250"/>
    </row>
    <row r="65" spans="1:19" hidden="1" x14ac:dyDescent="0.25">
      <c r="A65" s="1" t="s">
        <v>72</v>
      </c>
      <c r="B65" s="4" t="s">
        <v>35</v>
      </c>
      <c r="C65" s="4" t="s">
        <v>36</v>
      </c>
      <c r="D65" s="4" t="s">
        <v>37</v>
      </c>
      <c r="E65" s="4" t="s">
        <v>38</v>
      </c>
      <c r="F65" s="4" t="s">
        <v>39</v>
      </c>
      <c r="G65" s="4" t="s">
        <v>40</v>
      </c>
      <c r="H65" s="4" t="s">
        <v>41</v>
      </c>
      <c r="I65" t="s">
        <v>73</v>
      </c>
      <c r="N65" s="250"/>
      <c r="O65" s="250"/>
      <c r="P65" s="250"/>
      <c r="Q65" s="251"/>
      <c r="R65" s="250"/>
      <c r="S65" s="250"/>
    </row>
    <row r="66" spans="1:19" hidden="1" x14ac:dyDescent="0.25">
      <c r="A66" s="1" t="s">
        <v>74</v>
      </c>
      <c r="B66">
        <f>IF(C8=FALSE,C7,IF('SGB II alleinstehend -erziehend'!D46-'SGB II alleinstehend -erziehend'!D33&gt;0,'SGB II alleinstehend -erziehend'!D46-'SGB II alleinstehend -erziehend'!D33,0))</f>
        <v>0</v>
      </c>
      <c r="C66">
        <f>IF(D8=FALSE,D7,IF('SGB II alleinstehend -erziehend'!E46-'SGB II alleinstehend -erziehend'!E33&gt;0,'SGB II alleinstehend -erziehend'!E46-'SGB II alleinstehend -erziehend'!E33,0))</f>
        <v>0</v>
      </c>
      <c r="D66">
        <f>IF(E8=FALSE,E7,IF('SGB II alleinstehend -erziehend'!F46-'SGB II alleinstehend -erziehend'!F33&gt;0,'SGB II alleinstehend -erziehend'!F46-'SGB II alleinstehend -erziehend'!F33,0))</f>
        <v>0</v>
      </c>
      <c r="E66">
        <f>IF(F8=FALSE,F7,IF('SGB II alleinstehend -erziehend'!G46-'SGB II alleinstehend -erziehend'!G33&gt;0,'SGB II alleinstehend -erziehend'!G46-'SGB II alleinstehend -erziehend'!G33,0))</f>
        <v>0</v>
      </c>
      <c r="F66">
        <f>IF(G8=FALSE,G7,IF('SGB II alleinstehend -erziehend'!H46-'SGB II alleinstehend -erziehend'!H33&gt;0,'SGB II alleinstehend -erziehend'!H46-'SGB II alleinstehend -erziehend'!H33,0))</f>
        <v>0</v>
      </c>
      <c r="G66">
        <f>IF(H8=FALSE,H7,IF('SGB II alleinstehend -erziehend'!I46-'SGB II alleinstehend -erziehend'!I33&gt;0,'SGB II alleinstehend -erziehend'!I46-'SGB II alleinstehend -erziehend'!I33,0))</f>
        <v>0</v>
      </c>
      <c r="H66">
        <f>IF(I8=FALSE,I7,IF('SGB II alleinstehend -erziehend'!J46-'SGB II alleinstehend -erziehend'!J33&gt;0,'SGB II alleinstehend -erziehend'!J46-'SGB II alleinstehend -erziehend'!J33,0))</f>
        <v>0</v>
      </c>
      <c r="N66" s="250"/>
      <c r="O66" s="250"/>
      <c r="P66" s="250"/>
      <c r="Q66" s="251"/>
      <c r="R66" s="250"/>
      <c r="S66" s="250"/>
    </row>
    <row r="67" spans="1:19" ht="24.75" hidden="1" x14ac:dyDescent="0.25">
      <c r="A67" s="96" t="s">
        <v>75</v>
      </c>
      <c r="B67" s="3">
        <f>'SGB II alleinstehend -erziehend'!D11-'KiZ-alleinerziehend'!B66</f>
        <v>0</v>
      </c>
      <c r="C67" s="3">
        <f>'SGB II alleinstehend -erziehend'!E11-'KiZ-alleinerziehend'!C66</f>
        <v>0</v>
      </c>
      <c r="D67" s="3">
        <f>'SGB II alleinstehend -erziehend'!F11-'KiZ-alleinerziehend'!D66</f>
        <v>0</v>
      </c>
      <c r="E67" s="3">
        <f>'SGB II alleinstehend -erziehend'!G11-'KiZ-alleinerziehend'!E66</f>
        <v>0</v>
      </c>
      <c r="F67" s="3">
        <f>'SGB II alleinstehend -erziehend'!H11-'KiZ-alleinerziehend'!F66</f>
        <v>0</v>
      </c>
      <c r="G67" s="3">
        <f>'SGB II alleinstehend -erziehend'!I11-'KiZ-alleinerziehend'!G66</f>
        <v>0</v>
      </c>
      <c r="H67" s="3">
        <f>'SGB II alleinstehend -erziehend'!J11-'KiZ-alleinerziehend'!H66</f>
        <v>0</v>
      </c>
      <c r="I67" t="s">
        <v>73</v>
      </c>
      <c r="N67" s="250"/>
      <c r="O67" s="250"/>
      <c r="P67" s="250"/>
      <c r="Q67" s="251"/>
      <c r="R67" s="250"/>
      <c r="S67" s="250"/>
    </row>
    <row r="68" spans="1:19" ht="24.75" hidden="1" x14ac:dyDescent="0.25">
      <c r="A68" s="96" t="s">
        <v>75</v>
      </c>
      <c r="B68" s="2">
        <f t="shared" ref="B68:H68" si="11">IF(B67&gt;0,B67,0)</f>
        <v>0</v>
      </c>
      <c r="C68" s="2">
        <f t="shared" si="11"/>
        <v>0</v>
      </c>
      <c r="D68" s="2">
        <f t="shared" si="11"/>
        <v>0</v>
      </c>
      <c r="E68" s="2">
        <f t="shared" si="11"/>
        <v>0</v>
      </c>
      <c r="F68" s="2">
        <f t="shared" si="11"/>
        <v>0</v>
      </c>
      <c r="G68" s="2">
        <f t="shared" si="11"/>
        <v>0</v>
      </c>
      <c r="H68" s="2">
        <f t="shared" si="11"/>
        <v>0</v>
      </c>
      <c r="I68" s="3">
        <f>SUM(B68:H68)</f>
        <v>0</v>
      </c>
      <c r="N68" s="250"/>
      <c r="O68" s="250"/>
      <c r="P68" s="250"/>
      <c r="Q68" s="251"/>
      <c r="R68" s="250"/>
      <c r="S68" s="250"/>
    </row>
    <row r="69" spans="1:19" ht="26.25" hidden="1" x14ac:dyDescent="0.25">
      <c r="A69" s="87" t="s">
        <v>76</v>
      </c>
      <c r="N69" s="250"/>
      <c r="O69" s="250"/>
      <c r="P69" s="250"/>
      <c r="Q69" s="251"/>
      <c r="R69" s="250"/>
      <c r="S69" s="250"/>
    </row>
    <row r="70" spans="1:19" ht="32.25" hidden="1" customHeight="1" x14ac:dyDescent="0.25">
      <c r="A70" s="258" t="s">
        <v>77</v>
      </c>
      <c r="B70" s="259">
        <f>I68+'SGB II alleinstehend -erziehend'!C48</f>
        <v>563</v>
      </c>
      <c r="C70" s="94"/>
      <c r="N70" s="250"/>
      <c r="O70" s="250"/>
      <c r="P70" s="250"/>
      <c r="Q70" s="251"/>
      <c r="R70" s="250"/>
      <c r="S70" s="250"/>
    </row>
    <row r="71" spans="1:19" hidden="1" x14ac:dyDescent="0.25">
      <c r="A71" s="1" t="s">
        <v>78</v>
      </c>
      <c r="B71" s="3">
        <v>0</v>
      </c>
      <c r="C71" s="3">
        <f>IF('SGB II alleinstehend -erziehend'!E2&lt;18,'SGB II alleinstehend -erziehend'!E33,'SGB II alleinstehend -erziehend'!E33-30)</f>
        <v>0</v>
      </c>
      <c r="D71" s="3">
        <f>IF('SGB II alleinstehend -erziehend'!F2&lt;18,'SGB II alleinstehend -erziehend'!F33,'SGB II alleinstehend -erziehend'!F33-30)</f>
        <v>0</v>
      </c>
      <c r="E71" s="3">
        <f>IF('SGB II alleinstehend -erziehend'!G2&lt;18,'SGB II alleinstehend -erziehend'!G33,'SGB II alleinstehend -erziehend'!G33-30)</f>
        <v>0</v>
      </c>
      <c r="F71" s="3">
        <f>IF('SGB II alleinstehend -erziehend'!H2&lt;18,'SGB II alleinstehend -erziehend'!H33,'SGB II alleinstehend -erziehend'!H33-30)</f>
        <v>0</v>
      </c>
      <c r="G71" s="3">
        <f>IF('SGB II alleinstehend -erziehend'!I2&lt;18,'SGB II alleinstehend -erziehend'!I33,'SGB II alleinstehend -erziehend'!I33-30)</f>
        <v>0</v>
      </c>
      <c r="H71" s="3">
        <f>IF('SGB II alleinstehend -erziehend'!J2&lt;18,'SGB II alleinstehend -erziehend'!J33,'SGB II alleinstehend -erziehend'!J33-30)</f>
        <v>0</v>
      </c>
      <c r="N71" s="250"/>
      <c r="O71" s="250"/>
      <c r="P71" s="250"/>
      <c r="Q71" s="251"/>
      <c r="R71" s="250"/>
      <c r="S71" s="250"/>
    </row>
    <row r="72" spans="1:19" hidden="1" x14ac:dyDescent="0.25">
      <c r="A72" s="260" t="s">
        <v>79</v>
      </c>
      <c r="B72" s="261">
        <f>B57</f>
        <v>0</v>
      </c>
      <c r="C72" s="3"/>
      <c r="D72" s="3"/>
      <c r="E72" s="3"/>
      <c r="F72" s="3"/>
      <c r="G72" s="3"/>
      <c r="H72" s="3"/>
      <c r="N72" s="250"/>
      <c r="O72" s="250"/>
      <c r="P72" s="250"/>
      <c r="Q72" s="251"/>
      <c r="R72" s="250"/>
      <c r="S72" s="250"/>
    </row>
    <row r="73" spans="1:19" hidden="1" x14ac:dyDescent="0.25">
      <c r="A73" s="1" t="s">
        <v>80</v>
      </c>
      <c r="B73" s="3">
        <f>B58</f>
        <v>0</v>
      </c>
      <c r="N73" s="250"/>
      <c r="O73" s="250"/>
      <c r="P73" s="250"/>
      <c r="Q73" s="251"/>
      <c r="R73" s="250"/>
      <c r="S73" s="250"/>
    </row>
    <row r="74" spans="1:19" ht="30.75" hidden="1" customHeight="1" x14ac:dyDescent="0.25">
      <c r="A74" s="1" t="s">
        <v>81</v>
      </c>
      <c r="B74" s="3">
        <f>B33+B50</f>
        <v>0</v>
      </c>
      <c r="N74" s="250"/>
      <c r="O74" s="250"/>
      <c r="P74" s="250"/>
      <c r="Q74" s="251"/>
      <c r="R74" s="250"/>
      <c r="S74" s="250"/>
    </row>
    <row r="75" spans="1:19" ht="42.75" hidden="1" customHeight="1" x14ac:dyDescent="0.25">
      <c r="A75" s="57" t="s">
        <v>439</v>
      </c>
      <c r="B75" s="3">
        <f>B70-B72-B73-B74+'SGB II alleinstehend -erziehend'!B80</f>
        <v>563</v>
      </c>
      <c r="N75" s="250"/>
      <c r="O75" s="250"/>
      <c r="P75" s="250"/>
      <c r="Q75" s="251"/>
      <c r="R75" s="250"/>
      <c r="S75" s="250"/>
    </row>
    <row r="76" spans="1:19" ht="30" hidden="1" x14ac:dyDescent="0.25">
      <c r="A76" s="1" t="s">
        <v>83</v>
      </c>
      <c r="B76" s="3">
        <f>B75-B56</f>
        <v>563</v>
      </c>
      <c r="N76" s="250"/>
      <c r="O76" s="250"/>
      <c r="P76" s="250"/>
      <c r="Q76" s="251"/>
      <c r="R76" s="250"/>
      <c r="S76" s="250"/>
    </row>
    <row r="77" spans="1:19" hidden="1" x14ac:dyDescent="0.25">
      <c r="A77" s="1" t="s">
        <v>84</v>
      </c>
      <c r="B77" s="69" t="str">
        <f>IF(H27-H31&gt;100,"ja","nein")</f>
        <v>nein</v>
      </c>
      <c r="N77" s="250"/>
      <c r="O77" s="250"/>
      <c r="P77" s="250"/>
      <c r="Q77" s="251"/>
      <c r="R77" s="250"/>
      <c r="S77" s="250"/>
    </row>
    <row r="78" spans="1:19" x14ac:dyDescent="0.25">
      <c r="A78" s="1" t="s">
        <v>85</v>
      </c>
      <c r="B78" s="69" t="str">
        <f>IF(B76&lt;0,"ja","nein")</f>
        <v>nein</v>
      </c>
      <c r="N78" s="250"/>
      <c r="O78" s="250"/>
      <c r="P78" s="250"/>
      <c r="Q78" s="251"/>
      <c r="R78" s="250"/>
      <c r="S78" s="250"/>
    </row>
    <row r="79" spans="1:19" x14ac:dyDescent="0.25">
      <c r="A79" s="1" t="s">
        <v>86</v>
      </c>
      <c r="B79" s="69" t="str">
        <f>IF(AND(B76&gt;0,B76&lt;=100,H32&gt;=100),"ja"," ")</f>
        <v xml:space="preserve"> </v>
      </c>
      <c r="N79" s="250"/>
      <c r="O79" s="250"/>
      <c r="P79" s="250"/>
      <c r="Q79" s="251"/>
      <c r="R79" s="250"/>
      <c r="S79" s="250"/>
    </row>
    <row r="80" spans="1:19" x14ac:dyDescent="0.25">
      <c r="A80" s="1" t="s">
        <v>87</v>
      </c>
      <c r="B80" s="3">
        <f>IF(OR(B78="ja",B79="ja"),B56,0)</f>
        <v>0</v>
      </c>
      <c r="N80" s="250"/>
      <c r="O80" s="250"/>
      <c r="P80" s="250"/>
      <c r="Q80" s="251"/>
      <c r="R80" s="250"/>
      <c r="S80" s="250"/>
    </row>
    <row r="81" spans="1:25" x14ac:dyDescent="0.25">
      <c r="A81" s="26" t="s">
        <v>88</v>
      </c>
      <c r="B81" s="3">
        <f>ROUND(B80,0)</f>
        <v>0</v>
      </c>
      <c r="N81" s="404" t="s">
        <v>89</v>
      </c>
      <c r="O81" s="404"/>
      <c r="P81" s="404"/>
      <c r="Q81" s="404"/>
      <c r="R81" s="404"/>
      <c r="S81" s="404"/>
      <c r="T81" s="3">
        <f>B23+B26</f>
        <v>0</v>
      </c>
      <c r="U81" s="3">
        <f>C23+C25</f>
        <v>0</v>
      </c>
      <c r="V81" s="3">
        <f>D23+D25</f>
        <v>0</v>
      </c>
      <c r="W81" s="3">
        <f>E23+E25</f>
        <v>0</v>
      </c>
      <c r="X81" s="3">
        <f>F23+F25</f>
        <v>0</v>
      </c>
      <c r="Y81" s="3">
        <f>G23+G25</f>
        <v>0</v>
      </c>
    </row>
    <row r="82" spans="1:25" ht="30" x14ac:dyDescent="0.25">
      <c r="A82" s="26" t="s">
        <v>404</v>
      </c>
      <c r="B82" s="69" t="str">
        <f>IF(B61+B58&gt;='SGB II alleinstehend -erziehend'!B58,"ja","nein")</f>
        <v>nein</v>
      </c>
      <c r="N82" s="405" t="s">
        <v>90</v>
      </c>
      <c r="O82" s="406"/>
      <c r="P82" s="406"/>
      <c r="Q82" s="406"/>
      <c r="R82" s="406"/>
      <c r="S82" s="407"/>
      <c r="T82" s="32">
        <f t="shared" ref="T82:Y82" si="12">IF(T81-100&lt;0,T81,100)</f>
        <v>0</v>
      </c>
      <c r="U82" s="32">
        <f t="shared" si="12"/>
        <v>0</v>
      </c>
      <c r="V82" s="32">
        <f t="shared" si="12"/>
        <v>0</v>
      </c>
      <c r="W82" s="32">
        <f t="shared" si="12"/>
        <v>0</v>
      </c>
      <c r="X82" s="32">
        <f t="shared" si="12"/>
        <v>0</v>
      </c>
      <c r="Y82" s="32">
        <f t="shared" si="12"/>
        <v>0</v>
      </c>
    </row>
    <row r="83" spans="1:25" ht="12.95" customHeight="1" x14ac:dyDescent="0.25">
      <c r="N83" s="405" t="s">
        <v>91</v>
      </c>
      <c r="O83" s="406"/>
      <c r="P83" s="406"/>
      <c r="Q83" s="406"/>
      <c r="R83" s="406"/>
      <c r="S83" s="407"/>
      <c r="T83" s="32">
        <f t="shared" ref="T83:Y83" si="13">IF(T81&lt;100,0,IF(T81-1000&lt;0,((T81-100)*0.2),180))</f>
        <v>0</v>
      </c>
      <c r="U83" s="32">
        <f t="shared" si="13"/>
        <v>0</v>
      </c>
      <c r="V83" s="32">
        <f t="shared" si="13"/>
        <v>0</v>
      </c>
      <c r="W83" s="32">
        <f t="shared" si="13"/>
        <v>0</v>
      </c>
      <c r="X83" s="32">
        <f t="shared" si="13"/>
        <v>0</v>
      </c>
      <c r="Y83" s="32">
        <f t="shared" si="13"/>
        <v>0</v>
      </c>
    </row>
    <row r="84" spans="1:25" x14ac:dyDescent="0.25">
      <c r="N84" s="401" t="s">
        <v>92</v>
      </c>
      <c r="O84" s="401"/>
      <c r="P84" s="401"/>
      <c r="Q84" s="401"/>
      <c r="R84" s="401"/>
      <c r="S84" s="401"/>
      <c r="T84" s="15">
        <f t="shared" ref="T84:Y84" si="14">IF(T81&lt;1000,0,IF(T81-1200&lt;0,((T81-1000)*0.1),20))</f>
        <v>0</v>
      </c>
      <c r="U84" s="15">
        <f t="shared" si="14"/>
        <v>0</v>
      </c>
      <c r="V84" s="15">
        <f t="shared" si="14"/>
        <v>0</v>
      </c>
      <c r="W84" s="15">
        <f t="shared" si="14"/>
        <v>0</v>
      </c>
      <c r="X84" s="15">
        <f t="shared" si="14"/>
        <v>0</v>
      </c>
      <c r="Y84" s="15">
        <f t="shared" si="14"/>
        <v>0</v>
      </c>
    </row>
    <row r="85" spans="1:25" x14ac:dyDescent="0.25">
      <c r="N85" s="401" t="s">
        <v>93</v>
      </c>
      <c r="O85" s="401"/>
      <c r="P85" s="401"/>
      <c r="Q85" s="401"/>
      <c r="R85" s="401"/>
      <c r="S85" s="401"/>
      <c r="T85" s="15">
        <f>IF(OR(T81&lt;1200,'SGB II alleinstehend -erziehend'!$Z$1=0),0,IF(T81-1500&lt;0,(T81-1200)*0.1,30))</f>
        <v>0</v>
      </c>
      <c r="U85" s="15">
        <f>IF(OR(U81&lt;1200,'SGB II alleinstehend -erziehend'!$R$1=0),0,IF(U81-1500&lt;0,(U81-1200)*0.1,30))</f>
        <v>0</v>
      </c>
      <c r="V85" s="15">
        <f>IF(OR(V81&lt;1200,'SGB II alleinstehend -erziehend'!$R$1=0),0,IF(V81-1500&lt;0,(V81-1200)*0.1,30))</f>
        <v>0</v>
      </c>
      <c r="W85" s="15">
        <f>IF(OR(W81&lt;1200,'SGB II alleinstehend -erziehend'!$R$1=0),0,IF(W81-1500&lt;0,(W81-1200)*0.1,30))</f>
        <v>0</v>
      </c>
      <c r="X85" s="15">
        <f>IF(OR(X81&lt;1200,'SGB II alleinstehend -erziehend'!$R$1=0),0,IF(X81-1500&lt;0,(X81-1200)*0.1,30))</f>
        <v>0</v>
      </c>
      <c r="Y85" s="15">
        <f>IF(OR(Y81&lt;1200,'SGB II alleinstehend -erziehend'!$R$1=0),0,IF(Y81-1500&lt;0,(Y81-1200)*0.1,30))</f>
        <v>0</v>
      </c>
    </row>
    <row r="86" spans="1:25" x14ac:dyDescent="0.25">
      <c r="N86" s="401" t="s">
        <v>94</v>
      </c>
      <c r="O86" s="401"/>
      <c r="P86" s="401"/>
      <c r="Q86" s="401"/>
      <c r="R86" s="401"/>
      <c r="S86" s="401"/>
      <c r="T86" s="15">
        <f t="shared" ref="T86:Y86" si="15">T83+T84</f>
        <v>0</v>
      </c>
      <c r="U86" s="15">
        <f t="shared" si="15"/>
        <v>0</v>
      </c>
      <c r="V86" s="15">
        <f t="shared" si="15"/>
        <v>0</v>
      </c>
      <c r="W86" s="15">
        <f t="shared" si="15"/>
        <v>0</v>
      </c>
      <c r="X86" s="15">
        <f t="shared" si="15"/>
        <v>0</v>
      </c>
      <c r="Y86" s="15">
        <f t="shared" si="15"/>
        <v>0</v>
      </c>
    </row>
    <row r="87" spans="1:25" x14ac:dyDescent="0.25">
      <c r="N87" s="402" t="s">
        <v>95</v>
      </c>
      <c r="O87" s="402"/>
      <c r="P87" s="402"/>
      <c r="Q87" s="402"/>
      <c r="R87" s="402"/>
      <c r="S87" s="402"/>
      <c r="T87" s="3">
        <f>T83+T84+T85</f>
        <v>0</v>
      </c>
      <c r="U87" s="3">
        <f>U82+U83+U84+U85+G77+G78+C28+C29+L48-U82</f>
        <v>0</v>
      </c>
      <c r="V87" s="3">
        <f>V82+V83+V84+V85+H77+H78+D28+D29+M48-V82</f>
        <v>0</v>
      </c>
      <c r="W87" s="3">
        <f>W82+W83+W84+W85+I77+I78+E28+E29+N48-W82</f>
        <v>0</v>
      </c>
      <c r="X87" s="3">
        <f>X82+X83+X84+X85+J77+J78+F28+F29+O48-X82</f>
        <v>0</v>
      </c>
      <c r="Y87" s="3">
        <f>Y82+Y83+Y84+Y85+K77+K78+G28+G29+P48-Y82</f>
        <v>0</v>
      </c>
    </row>
    <row r="88" spans="1:25" x14ac:dyDescent="0.25">
      <c r="N88" s="403"/>
      <c r="O88" s="403"/>
      <c r="P88" s="403"/>
      <c r="Q88" s="403"/>
      <c r="R88" s="403"/>
      <c r="S88" s="403"/>
      <c r="T88" s="3"/>
      <c r="U88" s="3"/>
      <c r="V88" s="3"/>
      <c r="W88" s="3">
        <f>W82+W83+W84+I77+I78+E28+E29+N48-W82</f>
        <v>0</v>
      </c>
      <c r="X88" s="3">
        <f>X82+X83+X84+J77+J78+F28+F29+O48-X82</f>
        <v>0</v>
      </c>
      <c r="Y88" s="3">
        <f>Y82+Y83+Y84+K77+K78+G28+G29+P48-Y82</f>
        <v>0</v>
      </c>
    </row>
    <row r="89" spans="1:25" x14ac:dyDescent="0.25">
      <c r="N89" s="250"/>
      <c r="O89" s="250"/>
      <c r="P89" s="250"/>
      <c r="Q89" s="251"/>
      <c r="R89" s="250"/>
      <c r="S89" s="250"/>
    </row>
    <row r="90" spans="1:25" x14ac:dyDescent="0.25">
      <c r="N90" s="250"/>
      <c r="O90" s="250"/>
      <c r="P90" s="250"/>
      <c r="Q90" s="251"/>
      <c r="R90" s="250"/>
      <c r="S90" s="250"/>
    </row>
    <row r="99" spans="1:17" hidden="1" x14ac:dyDescent="0.25"/>
    <row r="100" spans="1:17" hidden="1" x14ac:dyDescent="0.25"/>
    <row r="101" spans="1:17" ht="30" hidden="1" x14ac:dyDescent="0.25">
      <c r="A101" s="1" t="s">
        <v>412</v>
      </c>
    </row>
    <row r="102" spans="1:17" hidden="1" x14ac:dyDescent="0.25">
      <c r="A102" s="1">
        <f>IF(B1="bis 06/2023",2023,B1)</f>
        <v>2026</v>
      </c>
    </row>
    <row r="103" spans="1:17" ht="45" hidden="1" x14ac:dyDescent="0.25">
      <c r="A103" s="1" t="s">
        <v>96</v>
      </c>
      <c r="I103" t="s">
        <v>97</v>
      </c>
    </row>
    <row r="104" spans="1:17" hidden="1" x14ac:dyDescent="0.25">
      <c r="A104" s="1">
        <v>2020</v>
      </c>
      <c r="B104" s="16">
        <f t="shared" ref="B104:G104" si="16">T86</f>
        <v>0</v>
      </c>
      <c r="C104" s="16">
        <f t="shared" si="16"/>
        <v>0</v>
      </c>
      <c r="D104" s="16">
        <f t="shared" si="16"/>
        <v>0</v>
      </c>
      <c r="E104" s="16">
        <f t="shared" si="16"/>
        <v>0</v>
      </c>
      <c r="F104" s="16">
        <f t="shared" si="16"/>
        <v>0</v>
      </c>
      <c r="G104" s="16">
        <f t="shared" si="16"/>
        <v>0</v>
      </c>
      <c r="I104">
        <v>2020</v>
      </c>
      <c r="J104" s="3">
        <f t="shared" ref="J104:O104" si="17">T87</f>
        <v>0</v>
      </c>
      <c r="K104" s="3">
        <f t="shared" si="17"/>
        <v>0</v>
      </c>
      <c r="L104" s="3">
        <f t="shared" si="17"/>
        <v>0</v>
      </c>
      <c r="M104" s="3">
        <f t="shared" si="17"/>
        <v>0</v>
      </c>
      <c r="N104" s="3">
        <f t="shared" si="17"/>
        <v>0</v>
      </c>
      <c r="O104" s="3">
        <f t="shared" si="17"/>
        <v>0</v>
      </c>
      <c r="Q104"/>
    </row>
    <row r="105" spans="1:17" hidden="1" x14ac:dyDescent="0.25">
      <c r="E105"/>
      <c r="F105"/>
      <c r="G105"/>
      <c r="L105"/>
      <c r="Q105"/>
    </row>
    <row r="106" spans="1:17" hidden="1" x14ac:dyDescent="0.25">
      <c r="A106" s="1">
        <v>2021</v>
      </c>
      <c r="B106" s="16">
        <f t="shared" ref="B106:G106" si="18">T86</f>
        <v>0</v>
      </c>
      <c r="C106" s="16">
        <f t="shared" si="18"/>
        <v>0</v>
      </c>
      <c r="D106" s="16">
        <f t="shared" si="18"/>
        <v>0</v>
      </c>
      <c r="E106" s="16">
        <f t="shared" si="18"/>
        <v>0</v>
      </c>
      <c r="F106" s="16">
        <f t="shared" si="18"/>
        <v>0</v>
      </c>
      <c r="G106" s="16">
        <f t="shared" si="18"/>
        <v>0</v>
      </c>
      <c r="I106">
        <v>2021</v>
      </c>
      <c r="J106" s="3">
        <f t="shared" ref="J106:O106" si="19">T87</f>
        <v>0</v>
      </c>
      <c r="K106" s="3">
        <f t="shared" si="19"/>
        <v>0</v>
      </c>
      <c r="L106" s="3">
        <f t="shared" si="19"/>
        <v>0</v>
      </c>
      <c r="M106" s="3">
        <f t="shared" si="19"/>
        <v>0</v>
      </c>
      <c r="N106" s="3">
        <f t="shared" si="19"/>
        <v>0</v>
      </c>
      <c r="O106" s="3">
        <f t="shared" si="19"/>
        <v>0</v>
      </c>
      <c r="Q106"/>
    </row>
    <row r="107" spans="1:17" hidden="1" x14ac:dyDescent="0.25">
      <c r="A107" s="1">
        <v>2022</v>
      </c>
      <c r="B107" s="16">
        <f t="shared" ref="B107:G107" si="20">T86</f>
        <v>0</v>
      </c>
      <c r="C107" s="16">
        <f t="shared" si="20"/>
        <v>0</v>
      </c>
      <c r="D107" s="16">
        <f t="shared" si="20"/>
        <v>0</v>
      </c>
      <c r="E107" s="16">
        <f t="shared" si="20"/>
        <v>0</v>
      </c>
      <c r="F107" s="16">
        <f t="shared" si="20"/>
        <v>0</v>
      </c>
      <c r="G107" s="16">
        <f t="shared" si="20"/>
        <v>0</v>
      </c>
      <c r="I107">
        <v>2022</v>
      </c>
      <c r="J107" s="3">
        <f t="shared" ref="J107:O107" si="21">T87</f>
        <v>0</v>
      </c>
      <c r="K107" s="3">
        <f t="shared" si="21"/>
        <v>0</v>
      </c>
      <c r="L107" s="3">
        <f t="shared" si="21"/>
        <v>0</v>
      </c>
      <c r="M107" s="3">
        <f t="shared" si="21"/>
        <v>0</v>
      </c>
      <c r="N107" s="3">
        <f t="shared" si="21"/>
        <v>0</v>
      </c>
      <c r="O107" s="3">
        <f t="shared" si="21"/>
        <v>0</v>
      </c>
      <c r="Q107"/>
    </row>
    <row r="108" spans="1:17" hidden="1" x14ac:dyDescent="0.25">
      <c r="A108" s="1" t="s">
        <v>5</v>
      </c>
      <c r="B108" s="16">
        <f t="shared" ref="B108:G108" si="22">T86</f>
        <v>0</v>
      </c>
      <c r="C108" s="16">
        <f t="shared" si="22"/>
        <v>0</v>
      </c>
      <c r="D108" s="16">
        <f t="shared" si="22"/>
        <v>0</v>
      </c>
      <c r="E108" s="16">
        <f t="shared" si="22"/>
        <v>0</v>
      </c>
      <c r="F108" s="16">
        <f t="shared" si="22"/>
        <v>0</v>
      </c>
      <c r="G108" s="16">
        <f t="shared" si="22"/>
        <v>0</v>
      </c>
      <c r="I108" t="s">
        <v>5</v>
      </c>
      <c r="J108" s="3">
        <f t="shared" ref="J108:O108" si="23">T87</f>
        <v>0</v>
      </c>
      <c r="K108" s="3">
        <f t="shared" si="23"/>
        <v>0</v>
      </c>
      <c r="L108" s="3">
        <f t="shared" si="23"/>
        <v>0</v>
      </c>
      <c r="M108" s="3">
        <f t="shared" si="23"/>
        <v>0</v>
      </c>
      <c r="N108" s="3">
        <f t="shared" si="23"/>
        <v>0</v>
      </c>
      <c r="O108" s="3">
        <f t="shared" si="23"/>
        <v>0</v>
      </c>
      <c r="Q108"/>
    </row>
    <row r="109" spans="1:17" hidden="1" x14ac:dyDescent="0.25">
      <c r="A109" s="1">
        <v>2023</v>
      </c>
      <c r="B109" s="16">
        <f t="shared" ref="B109:G109" si="24">T86</f>
        <v>0</v>
      </c>
      <c r="C109" s="16">
        <f t="shared" si="24"/>
        <v>0</v>
      </c>
      <c r="D109" s="16">
        <f t="shared" si="24"/>
        <v>0</v>
      </c>
      <c r="E109" s="16">
        <f t="shared" si="24"/>
        <v>0</v>
      </c>
      <c r="F109" s="16">
        <f t="shared" si="24"/>
        <v>0</v>
      </c>
      <c r="G109" s="16">
        <f t="shared" si="24"/>
        <v>0</v>
      </c>
      <c r="I109">
        <v>2023</v>
      </c>
      <c r="J109" s="3">
        <f t="shared" ref="J109:O109" si="25">T87</f>
        <v>0</v>
      </c>
      <c r="K109" s="3">
        <f t="shared" si="25"/>
        <v>0</v>
      </c>
      <c r="L109" s="3">
        <f t="shared" si="25"/>
        <v>0</v>
      </c>
      <c r="M109" s="3">
        <f t="shared" si="25"/>
        <v>0</v>
      </c>
      <c r="N109" s="3">
        <f t="shared" si="25"/>
        <v>0</v>
      </c>
      <c r="O109" s="3">
        <f t="shared" si="25"/>
        <v>0</v>
      </c>
      <c r="Q109"/>
    </row>
    <row r="110" spans="1:17" hidden="1" x14ac:dyDescent="0.25">
      <c r="A110" s="1" t="s">
        <v>1</v>
      </c>
      <c r="B110" s="16">
        <f t="shared" ref="B110:G110" si="26">IF(T83&gt;84,(T83-84)/2,0)+T86</f>
        <v>0</v>
      </c>
      <c r="C110" s="16">
        <f t="shared" si="26"/>
        <v>0</v>
      </c>
      <c r="D110" s="16">
        <f t="shared" si="26"/>
        <v>0</v>
      </c>
      <c r="E110" s="16">
        <f t="shared" si="26"/>
        <v>0</v>
      </c>
      <c r="F110" s="16">
        <f t="shared" si="26"/>
        <v>0</v>
      </c>
      <c r="G110" s="16">
        <f t="shared" si="26"/>
        <v>0</v>
      </c>
      <c r="I110" t="s">
        <v>1</v>
      </c>
      <c r="J110" s="3">
        <f t="shared" ref="J110:O110" si="27">IF(T83&gt;84,(T83-84)/2,0)+T87</f>
        <v>0</v>
      </c>
      <c r="K110" s="3">
        <f t="shared" si="27"/>
        <v>0</v>
      </c>
      <c r="L110" s="3">
        <f t="shared" si="27"/>
        <v>0</v>
      </c>
      <c r="M110" s="3">
        <f t="shared" si="27"/>
        <v>0</v>
      </c>
      <c r="N110" s="3">
        <f t="shared" si="27"/>
        <v>0</v>
      </c>
      <c r="O110" s="3">
        <f t="shared" si="27"/>
        <v>0</v>
      </c>
      <c r="Q110"/>
    </row>
    <row r="111" spans="1:17" hidden="1" x14ac:dyDescent="0.25">
      <c r="A111" s="1">
        <v>2024</v>
      </c>
      <c r="B111" s="16">
        <f t="shared" ref="B111:G111" si="28">IF(T83&gt;84,(T83-84)/2,0)+T86</f>
        <v>0</v>
      </c>
      <c r="C111" s="16">
        <f t="shared" si="28"/>
        <v>0</v>
      </c>
      <c r="D111" s="16">
        <f t="shared" si="28"/>
        <v>0</v>
      </c>
      <c r="E111" s="16">
        <f t="shared" si="28"/>
        <v>0</v>
      </c>
      <c r="F111" s="16">
        <f t="shared" si="28"/>
        <v>0</v>
      </c>
      <c r="G111" s="16">
        <f t="shared" si="28"/>
        <v>0</v>
      </c>
      <c r="I111">
        <v>2024</v>
      </c>
      <c r="J111" s="360">
        <f t="shared" ref="J111:O111" si="29">IF(T83&gt;84,(T83-84)/2,0)+T87</f>
        <v>0</v>
      </c>
      <c r="K111" s="360">
        <f t="shared" si="29"/>
        <v>0</v>
      </c>
      <c r="L111" s="360">
        <f t="shared" si="29"/>
        <v>0</v>
      </c>
      <c r="M111" s="360">
        <f t="shared" si="29"/>
        <v>0</v>
      </c>
      <c r="N111" s="360">
        <f t="shared" si="29"/>
        <v>0</v>
      </c>
      <c r="O111" s="360">
        <f t="shared" si="29"/>
        <v>0</v>
      </c>
      <c r="Q111"/>
    </row>
    <row r="112" spans="1:17" hidden="1" x14ac:dyDescent="0.25">
      <c r="A112" s="1" t="s">
        <v>98</v>
      </c>
      <c r="B112" s="2">
        <f>VLOOKUP($A$102,A104:$G111,2)</f>
        <v>0</v>
      </c>
      <c r="C112" s="2">
        <f>VLOOKUP($A$102,$A104:$G111,3)</f>
        <v>0</v>
      </c>
      <c r="D112" s="2">
        <f>VLOOKUP($A$102,$A104:$G111,4)</f>
        <v>0</v>
      </c>
      <c r="E112" s="2">
        <f>VLOOKUP($A$102,$A104:$G111,5)</f>
        <v>0</v>
      </c>
      <c r="F112" s="2">
        <f>VLOOKUP($A$102,$A104:$G111,6)</f>
        <v>0</v>
      </c>
      <c r="G112" s="2">
        <f>VLOOKUP($A$102,$A104:$G111,7)</f>
        <v>0</v>
      </c>
      <c r="I112" t="s">
        <v>99</v>
      </c>
      <c r="J112" s="2">
        <f>VLOOKUP($A$102,$I104:$O111,2)</f>
        <v>0</v>
      </c>
      <c r="K112" s="2">
        <f>VLOOKUP($A$102,$I104:$O111,3)</f>
        <v>0</v>
      </c>
      <c r="L112" s="2">
        <f>VLOOKUP($A$102,$I104:$O111,4)</f>
        <v>0</v>
      </c>
      <c r="M112" s="2">
        <f>VLOOKUP($A$102,$I104:$O111,5)</f>
        <v>0</v>
      </c>
      <c r="N112" s="2">
        <f>VLOOKUP($A$102,$I104:$O111,6)</f>
        <v>0</v>
      </c>
      <c r="O112" s="2">
        <f>VLOOKUP($A$102,$I104:$O111,7)</f>
        <v>0</v>
      </c>
      <c r="P112" s="2"/>
      <c r="Q112"/>
    </row>
    <row r="113" spans="1:17" hidden="1" x14ac:dyDescent="0.25">
      <c r="A113" s="1" t="s">
        <v>100</v>
      </c>
      <c r="B113" s="2">
        <f t="shared" ref="B113:G113" si="30">K51</f>
        <v>0</v>
      </c>
      <c r="C113" s="2">
        <f t="shared" si="30"/>
        <v>0</v>
      </c>
      <c r="D113" s="2">
        <f t="shared" si="30"/>
        <v>0</v>
      </c>
      <c r="E113" s="2">
        <f t="shared" si="30"/>
        <v>0</v>
      </c>
      <c r="F113" s="2">
        <f t="shared" si="30"/>
        <v>0</v>
      </c>
      <c r="G113" s="2">
        <f t="shared" si="30"/>
        <v>0</v>
      </c>
      <c r="J113" s="2">
        <f t="shared" ref="J113:O113" si="31">B113</f>
        <v>0</v>
      </c>
      <c r="K113" s="2">
        <f t="shared" si="31"/>
        <v>0</v>
      </c>
      <c r="L113" s="2">
        <f t="shared" si="31"/>
        <v>0</v>
      </c>
      <c r="M113" s="2">
        <f t="shared" si="31"/>
        <v>0</v>
      </c>
      <c r="N113" s="2">
        <f t="shared" si="31"/>
        <v>0</v>
      </c>
      <c r="O113" s="2">
        <f t="shared" si="31"/>
        <v>0</v>
      </c>
      <c r="P113" s="2"/>
      <c r="Q113"/>
    </row>
    <row r="114" spans="1:17" hidden="1" x14ac:dyDescent="0.25">
      <c r="A114" s="1" t="s">
        <v>101</v>
      </c>
      <c r="B114" s="2">
        <f t="shared" ref="B114:G114" si="32">B113+B112</f>
        <v>0</v>
      </c>
      <c r="C114" s="2">
        <f t="shared" si="32"/>
        <v>0</v>
      </c>
      <c r="D114" s="2">
        <f t="shared" si="32"/>
        <v>0</v>
      </c>
      <c r="E114" s="2">
        <f t="shared" si="32"/>
        <v>0</v>
      </c>
      <c r="F114" s="2">
        <f t="shared" si="32"/>
        <v>0</v>
      </c>
      <c r="G114" s="2">
        <f t="shared" si="32"/>
        <v>0</v>
      </c>
      <c r="J114" s="2">
        <f t="shared" ref="J114:O114" si="33">J113+J112</f>
        <v>0</v>
      </c>
      <c r="K114" s="2">
        <f t="shared" si="33"/>
        <v>0</v>
      </c>
      <c r="L114" s="2">
        <f t="shared" si="33"/>
        <v>0</v>
      </c>
      <c r="M114" s="2">
        <f t="shared" si="33"/>
        <v>0</v>
      </c>
      <c r="N114" s="2">
        <f t="shared" si="33"/>
        <v>0</v>
      </c>
      <c r="O114" s="2">
        <f t="shared" si="33"/>
        <v>0</v>
      </c>
      <c r="P114" s="2"/>
      <c r="Q114"/>
    </row>
    <row r="115" spans="1:17" hidden="1" x14ac:dyDescent="0.25"/>
    <row r="116" spans="1:17" hidden="1" x14ac:dyDescent="0.25"/>
    <row r="117" spans="1:17" ht="18.75" hidden="1" x14ac:dyDescent="0.3">
      <c r="A117" s="400" t="s">
        <v>102</v>
      </c>
      <c r="B117" s="400"/>
      <c r="C117" s="400"/>
      <c r="D117" s="400"/>
      <c r="E117" s="400"/>
      <c r="F117" s="400"/>
      <c r="G117" s="400"/>
      <c r="H117" s="400"/>
      <c r="I117" s="400"/>
    </row>
    <row r="118" spans="1:17" hidden="1" x14ac:dyDescent="0.25">
      <c r="A118" s="1" t="s">
        <v>103</v>
      </c>
      <c r="B118" s="24" t="b">
        <v>0</v>
      </c>
      <c r="C118" s="24" t="b">
        <v>0</v>
      </c>
      <c r="D118" s="24" t="b">
        <v>0</v>
      </c>
      <c r="E118" s="24" t="b">
        <v>0</v>
      </c>
      <c r="F118" s="24" t="b">
        <v>0</v>
      </c>
      <c r="G118" s="24" t="b">
        <v>0</v>
      </c>
    </row>
    <row r="119" spans="1:17" hidden="1" x14ac:dyDescent="0.25">
      <c r="A119" s="1" t="s">
        <v>104</v>
      </c>
      <c r="B119">
        <f t="shared" ref="B119:G119" si="34">IF(B23&gt;$A127,$A127,B23)</f>
        <v>0</v>
      </c>
      <c r="C119">
        <f t="shared" si="34"/>
        <v>0</v>
      </c>
      <c r="D119">
        <f t="shared" si="34"/>
        <v>0</v>
      </c>
      <c r="E119">
        <f t="shared" si="34"/>
        <v>0</v>
      </c>
      <c r="F119">
        <f t="shared" si="34"/>
        <v>0</v>
      </c>
      <c r="G119">
        <f t="shared" si="34"/>
        <v>0</v>
      </c>
    </row>
    <row r="120" spans="1:17" hidden="1" x14ac:dyDescent="0.25">
      <c r="A120" s="1" t="s">
        <v>105</v>
      </c>
      <c r="B120">
        <f t="shared" ref="B120:G120" si="35">IF(B23&lt;520,0,IF(B23-1000&lt;0,(B23-520)*0.3,144))</f>
        <v>0</v>
      </c>
      <c r="C120">
        <f t="shared" si="35"/>
        <v>0</v>
      </c>
      <c r="D120">
        <f t="shared" si="35"/>
        <v>0</v>
      </c>
      <c r="E120">
        <f t="shared" si="35"/>
        <v>0</v>
      </c>
      <c r="F120">
        <f t="shared" si="35"/>
        <v>0</v>
      </c>
      <c r="G120">
        <f t="shared" si="35"/>
        <v>0</v>
      </c>
    </row>
    <row r="121" spans="1:17" hidden="1" x14ac:dyDescent="0.25">
      <c r="A121" s="1" t="s">
        <v>106</v>
      </c>
      <c r="B121">
        <f t="shared" ref="B121:G121" si="36">IF(B23&lt;1000,0,IF(B23-1200&lt;0,(B23-1000)*0.1,20))</f>
        <v>0</v>
      </c>
      <c r="C121">
        <f t="shared" si="36"/>
        <v>0</v>
      </c>
      <c r="D121">
        <f t="shared" si="36"/>
        <v>0</v>
      </c>
      <c r="E121">
        <f t="shared" si="36"/>
        <v>0</v>
      </c>
      <c r="F121">
        <f t="shared" si="36"/>
        <v>0</v>
      </c>
      <c r="G121">
        <f t="shared" si="36"/>
        <v>0</v>
      </c>
    </row>
    <row r="122" spans="1:17" hidden="1" x14ac:dyDescent="0.25">
      <c r="A122" s="1" t="s">
        <v>107</v>
      </c>
      <c r="B122">
        <f>IF('SGB II alleinstehend -erziehend'!$Z$1=0,0,IF(B23&lt;1200,0,IF(B23-1500&lt;0,(B23-1200)*0.1,30)))</f>
        <v>0</v>
      </c>
      <c r="C122">
        <f>IF('SGB II alleinstehend -erziehend'!$Z$1=0,0,IF(C23&lt;1200,0,IF(C23-1500&lt;0,(C23-1200)*0.1,30)))</f>
        <v>0</v>
      </c>
      <c r="D122">
        <f>IF('SGB II alleinstehend -erziehend'!$Z$1=0,0,IF(D23&lt;1200,0,IF(D23-1500&lt;0,(D23-1200)*0.1,30)))</f>
        <v>0</v>
      </c>
      <c r="E122">
        <f>IF('SGB II alleinstehend -erziehend'!$Z$1=0,0,IF(E23&lt;1200,0,IF(E23-1500&lt;0,(E23-1200)*0.1,30)))</f>
        <v>0</v>
      </c>
      <c r="F122">
        <f>IF('SGB II alleinstehend -erziehend'!$Z$1=0,0,IF(F23&lt;1200,0,IF(F23-1500&lt;0,(F23-1200)*0.1,30)))</f>
        <v>0</v>
      </c>
      <c r="G122">
        <f>IF('SGB II alleinstehend -erziehend'!$Z$1=0,0,IF(G23&lt;1200,0,IF(G23-1500&lt;0,(G23-1200)*0.1,30)))</f>
        <v>0</v>
      </c>
    </row>
    <row r="123" spans="1:17" hidden="1" x14ac:dyDescent="0.25">
      <c r="A123" s="1" t="s">
        <v>108</v>
      </c>
      <c r="B123">
        <f t="shared" ref="B123:G123" si="37">SUM(B119:B122)</f>
        <v>0</v>
      </c>
      <c r="C123">
        <f t="shared" si="37"/>
        <v>0</v>
      </c>
      <c r="D123">
        <f t="shared" si="37"/>
        <v>0</v>
      </c>
      <c r="E123">
        <f t="shared" si="37"/>
        <v>0</v>
      </c>
      <c r="F123">
        <f t="shared" si="37"/>
        <v>0</v>
      </c>
      <c r="G123">
        <f t="shared" si="37"/>
        <v>0</v>
      </c>
    </row>
    <row r="124" spans="1:17" hidden="1" x14ac:dyDescent="0.25">
      <c r="A124" s="1" t="s">
        <v>109</v>
      </c>
      <c r="B124">
        <f t="shared" ref="B124:G124" si="38">B119+B120+B121</f>
        <v>0</v>
      </c>
      <c r="C124">
        <f t="shared" si="38"/>
        <v>0</v>
      </c>
      <c r="D124">
        <f t="shared" si="38"/>
        <v>0</v>
      </c>
      <c r="E124">
        <f t="shared" si="38"/>
        <v>0</v>
      </c>
      <c r="F124">
        <f t="shared" si="38"/>
        <v>0</v>
      </c>
      <c r="G124">
        <f t="shared" si="38"/>
        <v>0</v>
      </c>
    </row>
    <row r="125" spans="1:17" hidden="1" x14ac:dyDescent="0.25">
      <c r="A125" s="1" t="s">
        <v>110</v>
      </c>
      <c r="B125">
        <f>IF('SGB II alleinstehend -erziehend'!$Z$1=0,'KiZ-alleinerziehend'!B124,'KiZ-alleinerziehend'!B123)</f>
        <v>0</v>
      </c>
      <c r="C125">
        <f>IF('SGB II alleinstehend -erziehend'!$Z$1=0,'KiZ-alleinerziehend'!C124,'KiZ-alleinerziehend'!C123)</f>
        <v>0</v>
      </c>
      <c r="D125">
        <f>IF('SGB II alleinstehend -erziehend'!$Z$1=0,'KiZ-alleinerziehend'!D124,'KiZ-alleinerziehend'!D123)</f>
        <v>0</v>
      </c>
      <c r="E125">
        <f>IF('SGB II alleinstehend -erziehend'!$Z$1=0,'KiZ-alleinerziehend'!E124,'KiZ-alleinerziehend'!E123)</f>
        <v>0</v>
      </c>
      <c r="F125">
        <f>IF('SGB II alleinstehend -erziehend'!$Z$1=0,'KiZ-alleinerziehend'!F124,'KiZ-alleinerziehend'!F123)</f>
        <v>0</v>
      </c>
      <c r="G125">
        <f>IF('SGB II alleinstehend -erziehend'!$Z$1=0,'KiZ-alleinerziehend'!G124,'KiZ-alleinerziehend'!G123)</f>
        <v>0</v>
      </c>
    </row>
    <row r="126" spans="1:17" ht="21.95" hidden="1" customHeight="1" x14ac:dyDescent="0.25">
      <c r="A126" s="1" t="s">
        <v>416</v>
      </c>
      <c r="B126" s="13" t="s">
        <v>1</v>
      </c>
      <c r="C126">
        <v>520</v>
      </c>
      <c r="E126"/>
    </row>
    <row r="127" spans="1:17" hidden="1" x14ac:dyDescent="0.25">
      <c r="A127" s="1">
        <f>VLOOKUP(B1,B126:C129,2,FALSE)</f>
        <v>603</v>
      </c>
      <c r="B127">
        <v>2024</v>
      </c>
      <c r="C127">
        <v>538</v>
      </c>
      <c r="E127"/>
    </row>
    <row r="128" spans="1:17" hidden="1" x14ac:dyDescent="0.25">
      <c r="B128">
        <v>2025</v>
      </c>
      <c r="C128">
        <v>556</v>
      </c>
    </row>
    <row r="129" spans="2:3" hidden="1" x14ac:dyDescent="0.25">
      <c r="B129">
        <v>2026</v>
      </c>
      <c r="C129">
        <v>603</v>
      </c>
    </row>
    <row r="130" spans="2:3" hidden="1" x14ac:dyDescent="0.25"/>
  </sheetData>
  <sheetProtection algorithmName="SHA-512" hashValue="ph5JYXwrzBRXjqXO0h2vwiIPA1MfJ/otpbW+A53BLBB95cj26Zs0Mj89jtGy++t+32k52hq7eCIDylHVFWJ7hg==" saltValue="L4YOCf3ubhHCR6JddWIE9Q==" spinCount="100000" sheet="1" selectLockedCells="1"/>
  <mergeCells count="16">
    <mergeCell ref="A117:I117"/>
    <mergeCell ref="N86:S86"/>
    <mergeCell ref="N87:S87"/>
    <mergeCell ref="N88:S88"/>
    <mergeCell ref="N81:S81"/>
    <mergeCell ref="N82:S82"/>
    <mergeCell ref="N83:S83"/>
    <mergeCell ref="N84:S84"/>
    <mergeCell ref="N85:S85"/>
    <mergeCell ref="P22:S22"/>
    <mergeCell ref="A64:I64"/>
    <mergeCell ref="A6:I6"/>
    <mergeCell ref="A19:K19"/>
    <mergeCell ref="A45:E45"/>
    <mergeCell ref="A52:G52"/>
    <mergeCell ref="A60:D60"/>
  </mergeCells>
  <phoneticPr fontId="6" type="noConversion"/>
  <conditionalFormatting sqref="B78">
    <cfRule type="containsText" dxfId="19" priority="5" operator="containsText" text="nein">
      <formula>NOT(ISERROR(SEARCH("nein",B78)))</formula>
    </cfRule>
    <cfRule type="containsText" dxfId="18" priority="6" operator="containsText" text="ja">
      <formula>NOT(ISERROR(SEARCH("ja",B78)))</formula>
    </cfRule>
  </conditionalFormatting>
  <conditionalFormatting sqref="B79">
    <cfRule type="containsText" dxfId="17" priority="7" operator="containsText" text="ja">
      <formula>NOT(ISERROR(SEARCH("ja",B79)))</formula>
    </cfRule>
  </conditionalFormatting>
  <conditionalFormatting sqref="B82">
    <cfRule type="containsText" dxfId="16" priority="3" operator="containsText" text="nein">
      <formula>NOT(ISERROR(SEARCH("nein",B82)))</formula>
    </cfRule>
    <cfRule type="containsText" dxfId="15" priority="4" operator="containsText" text="ja">
      <formula>NOT(ISERROR(SEARCH("ja",B82)))</formula>
    </cfRule>
  </conditionalFormatting>
  <conditionalFormatting sqref="B25:G25">
    <cfRule type="expression" dxfId="14" priority="1">
      <formula>OR($B$1="ab 7/2023",$B1=2024)</formula>
    </cfRule>
  </conditionalFormatting>
  <dataValidations xWindow="628" yWindow="823" count="2">
    <dataValidation allowBlank="1" showInputMessage="1" showErrorMessage="1" promptTitle="Grün" prompt="Eingabe nur in grüne Felder möglich !" sqref="A3:B3 A7:B14 T27:XFD27 A19:XFD21 T81:Y81 O2:Q2 A49:XFD56 A60:XFD60 Z46:Z48 A30 A45:L45 U45:XFD45 A33:L33 U33:XFD33 Z62:XFD100 N89:Y100 N81 A59 N62:Y80 C9:I14 A62:M100 A27:O27 B2:L2 A31:XFD31 M6:N6" xr:uid="{00000000-0002-0000-0000-000000000000}"/>
    <dataValidation allowBlank="1" showErrorMessage="1" sqref="P22:S30" xr:uid="{00000000-0002-0000-0000-000001000000}"/>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333375</xdr:colOff>
                    <xdr:row>20</xdr:row>
                    <xdr:rowOff>66675</xdr:rowOff>
                  </from>
                  <to>
                    <xdr:col>1</xdr:col>
                    <xdr:colOff>561975</xdr:colOff>
                    <xdr:row>20</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371475</xdr:colOff>
                    <xdr:row>20</xdr:row>
                    <xdr:rowOff>85725</xdr:rowOff>
                  </from>
                  <to>
                    <xdr:col>2</xdr:col>
                    <xdr:colOff>571500</xdr:colOff>
                    <xdr:row>20</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333375</xdr:colOff>
                    <xdr:row>20</xdr:row>
                    <xdr:rowOff>66675</xdr:rowOff>
                  </from>
                  <to>
                    <xdr:col>3</xdr:col>
                    <xdr:colOff>600075</xdr:colOff>
                    <xdr:row>20</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457200</xdr:colOff>
                    <xdr:row>20</xdr:row>
                    <xdr:rowOff>104775</xdr:rowOff>
                  </from>
                  <to>
                    <xdr:col>4</xdr:col>
                    <xdr:colOff>657225</xdr:colOff>
                    <xdr:row>20</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342900</xdr:colOff>
                    <xdr:row>20</xdr:row>
                    <xdr:rowOff>85725</xdr:rowOff>
                  </from>
                  <to>
                    <xdr:col>5</xdr:col>
                    <xdr:colOff>542925</xdr:colOff>
                    <xdr:row>20</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419100</xdr:colOff>
                    <xdr:row>20</xdr:row>
                    <xdr:rowOff>85725</xdr:rowOff>
                  </from>
                  <to>
                    <xdr:col>6</xdr:col>
                    <xdr:colOff>638175</xdr:colOff>
                    <xdr:row>20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1"/>
  <dimension ref="A1:BE80"/>
  <sheetViews>
    <sheetView zoomScale="175" zoomScaleNormal="175" zoomScaleSheetLayoutView="80" workbookViewId="0">
      <pane ySplit="1" topLeftCell="A2" activePane="bottomLeft" state="frozen"/>
      <selection pane="bottomLeft" activeCell="D22" sqref="D22"/>
    </sheetView>
    <sheetView tabSelected="1" zoomScale="150" zoomScaleNormal="150" workbookViewId="1">
      <selection activeCell="AC7" sqref="AC7"/>
    </sheetView>
  </sheetViews>
  <sheetFormatPr baseColWidth="10" defaultColWidth="11.42578125" defaultRowHeight="15" x14ac:dyDescent="0.25"/>
  <cols>
    <col min="1" max="1" width="29.5703125" style="1" customWidth="1"/>
    <col min="2" max="2" width="15" bestFit="1" customWidth="1"/>
    <col min="3" max="3" width="14.5703125" customWidth="1"/>
    <col min="4" max="4" width="16.5703125" style="2" customWidth="1"/>
    <col min="5" max="5" width="17.42578125" style="2" customWidth="1"/>
    <col min="6" max="6" width="16.42578125" style="2" customWidth="1"/>
    <col min="7" max="7" width="14.140625" customWidth="1"/>
    <col min="8" max="8" width="13" customWidth="1"/>
    <col min="9" max="9" width="16.140625" customWidth="1"/>
    <col min="10" max="10" width="13.5703125" customWidth="1"/>
    <col min="11" max="11" width="11.42578125" style="13" hidden="1" customWidth="1"/>
    <col min="12" max="12" width="10.85546875" hidden="1" customWidth="1"/>
    <col min="13" max="13" width="11.42578125" hidden="1" customWidth="1"/>
    <col min="14" max="15" width="10.85546875" hidden="1" customWidth="1"/>
    <col min="16" max="16" width="10.85546875" style="2" hidden="1" customWidth="1"/>
    <col min="17" max="17" width="11.42578125" hidden="1" customWidth="1"/>
    <col min="18" max="21" width="10.85546875" hidden="1" customWidth="1"/>
    <col min="22" max="28" width="11.42578125" hidden="1" customWidth="1"/>
    <col min="29" max="43" width="11.42578125" customWidth="1"/>
  </cols>
  <sheetData>
    <row r="1" spans="1:32" s="4" customFormat="1" ht="21" customHeight="1" x14ac:dyDescent="0.25">
      <c r="A1" s="106" t="s">
        <v>111</v>
      </c>
      <c r="B1" s="108">
        <v>2026</v>
      </c>
      <c r="C1" s="29" t="s">
        <v>2</v>
      </c>
      <c r="D1" s="29" t="s">
        <v>35</v>
      </c>
      <c r="E1" s="29" t="s">
        <v>36</v>
      </c>
      <c r="F1" s="29" t="s">
        <v>37</v>
      </c>
      <c r="G1" s="29" t="s">
        <v>38</v>
      </c>
      <c r="H1" s="29" t="s">
        <v>39</v>
      </c>
      <c r="I1" s="29" t="s">
        <v>40</v>
      </c>
      <c r="J1" s="29" t="s">
        <v>41</v>
      </c>
      <c r="K1" s="13"/>
      <c r="N1" s="4" t="s">
        <v>112</v>
      </c>
      <c r="P1" s="52" t="b">
        <v>0</v>
      </c>
      <c r="Q1" s="4" t="s">
        <v>113</v>
      </c>
      <c r="R1" s="4">
        <f>IF(AND(P1=FALSE,U10=0),0,1)</f>
        <v>0</v>
      </c>
      <c r="S1">
        <v>0</v>
      </c>
      <c r="T1" s="77" t="s">
        <v>114</v>
      </c>
      <c r="V1" s="4" t="s">
        <v>115</v>
      </c>
      <c r="W1" s="4" t="b">
        <f>IF(OR(B1="ab 7/2023",B1=2024,B1=2025,B1=2026),TRUE,FALSE)</f>
        <v>1</v>
      </c>
      <c r="Y1" s="4" t="s">
        <v>116</v>
      </c>
      <c r="Z1" s="4">
        <f>IF(OR(P1=TRUE,U10&gt;0),1,0)</f>
        <v>0</v>
      </c>
    </row>
    <row r="2" spans="1:32" ht="39" customHeight="1" x14ac:dyDescent="0.25">
      <c r="A2" s="26" t="s">
        <v>117</v>
      </c>
      <c r="B2" s="51" t="s">
        <v>118</v>
      </c>
      <c r="C2" s="27" t="s">
        <v>119</v>
      </c>
      <c r="D2" s="5"/>
      <c r="E2" s="5"/>
      <c r="F2" s="5"/>
      <c r="G2" s="5"/>
      <c r="H2" s="5"/>
      <c r="I2" s="5"/>
      <c r="J2" s="5"/>
      <c r="L2" s="4"/>
      <c r="M2" s="4"/>
      <c r="N2" s="24" t="b">
        <v>0</v>
      </c>
      <c r="T2" s="249" t="str">
        <f>D1</f>
        <v>Kind 1</v>
      </c>
      <c r="U2">
        <f>IF(OR(ISBLANK(D2),D2&gt;17),0,1)</f>
        <v>0</v>
      </c>
      <c r="X2" t="s">
        <v>417</v>
      </c>
      <c r="Z2">
        <f>IF(U10&gt;0,1,0)</f>
        <v>0</v>
      </c>
    </row>
    <row r="3" spans="1:32" ht="33" customHeight="1" x14ac:dyDescent="0.25">
      <c r="A3" s="126" t="s">
        <v>120</v>
      </c>
      <c r="B3" s="308"/>
      <c r="C3" s="369"/>
      <c r="D3" s="5"/>
      <c r="E3" s="5"/>
      <c r="F3" s="5"/>
      <c r="G3" s="6"/>
      <c r="H3" s="6"/>
      <c r="I3" s="6"/>
      <c r="J3" s="6"/>
      <c r="L3" s="4"/>
      <c r="M3" s="4"/>
      <c r="N3" s="24"/>
      <c r="T3" s="249"/>
    </row>
    <row r="4" spans="1:32" x14ac:dyDescent="0.25">
      <c r="A4" s="1" t="s">
        <v>121</v>
      </c>
      <c r="C4" s="2">
        <f>$AC$23</f>
        <v>563</v>
      </c>
      <c r="D4" s="2">
        <f>IF(ISBLANK(D2),0,IF(D2&lt;6,$AC$32,IF(D2&lt;14,$AC$31,IF(D2&lt;18,$AC$30,IF(D2&lt;25,$AC$29)))))</f>
        <v>0</v>
      </c>
      <c r="E4" s="2">
        <f t="shared" ref="E4:J4" si="0">IF(ISBLANK(E2),0,IF(E2&lt;6,$AC$32,IF(E2&lt;14,$AC$31,IF(E2&lt;18,$AC$30,IF(E2&lt;25,$AC$29)))))</f>
        <v>0</v>
      </c>
      <c r="F4" s="2">
        <f t="shared" si="0"/>
        <v>0</v>
      </c>
      <c r="G4" s="2">
        <f t="shared" si="0"/>
        <v>0</v>
      </c>
      <c r="H4" s="2">
        <f t="shared" si="0"/>
        <v>0</v>
      </c>
      <c r="I4" s="2">
        <f t="shared" si="0"/>
        <v>0</v>
      </c>
      <c r="J4" s="2">
        <f t="shared" si="0"/>
        <v>0</v>
      </c>
      <c r="K4" s="2">
        <f t="shared" ref="K4:Q4" si="1">IF(ISBLANK(K2),0,IF(K2&lt;6,$AC$30,IF(K2&lt;14,$AC$29,IF(K2&lt;18,$AC$28,IF(K2&lt;25,$AC$27)))))</f>
        <v>0</v>
      </c>
      <c r="L4" s="2">
        <f t="shared" si="1"/>
        <v>0</v>
      </c>
      <c r="M4" s="2">
        <f t="shared" si="1"/>
        <v>0</v>
      </c>
      <c r="N4" s="289" t="b">
        <v>0</v>
      </c>
      <c r="O4" s="2" t="b">
        <v>0</v>
      </c>
      <c r="P4" s="2">
        <f t="shared" si="1"/>
        <v>0</v>
      </c>
      <c r="Q4" s="2">
        <f t="shared" si="1"/>
        <v>0</v>
      </c>
      <c r="R4">
        <v>2026</v>
      </c>
      <c r="T4" s="249" t="str">
        <f>E1</f>
        <v>Kind 2</v>
      </c>
      <c r="U4">
        <f>IF(OR(ISBLANK(E2),E2&gt;17),0,1)</f>
        <v>0</v>
      </c>
      <c r="AC4" s="411" t="s">
        <v>24</v>
      </c>
      <c r="AD4" s="412"/>
      <c r="AE4" s="412"/>
      <c r="AF4" s="413"/>
    </row>
    <row r="5" spans="1:32" x14ac:dyDescent="0.25">
      <c r="A5" s="1" t="s">
        <v>122</v>
      </c>
      <c r="B5" s="7"/>
      <c r="C5" s="2">
        <f>IF(N4=TRUE,0.023*C4,0)</f>
        <v>0</v>
      </c>
      <c r="D5" s="2">
        <f t="shared" ref="D5:J5" si="2">IF($N4=TRUE,VLOOKUP(D2,$N5:$P39,3,FALSE),0)</f>
        <v>0</v>
      </c>
      <c r="E5" s="2">
        <f t="shared" si="2"/>
        <v>0</v>
      </c>
      <c r="F5" s="2">
        <f t="shared" si="2"/>
        <v>0</v>
      </c>
      <c r="G5" s="2">
        <f t="shared" si="2"/>
        <v>0</v>
      </c>
      <c r="H5" s="2">
        <f t="shared" si="2"/>
        <v>0</v>
      </c>
      <c r="I5" s="2">
        <f t="shared" si="2"/>
        <v>0</v>
      </c>
      <c r="J5" s="2">
        <f t="shared" si="2"/>
        <v>0</v>
      </c>
      <c r="N5">
        <v>0</v>
      </c>
      <c r="O5">
        <f>$AC$32</f>
        <v>357</v>
      </c>
      <c r="P5" s="2">
        <v>0</v>
      </c>
      <c r="R5">
        <v>2025</v>
      </c>
      <c r="T5" s="249" t="str">
        <f>F1</f>
        <v>Kind 3</v>
      </c>
      <c r="U5">
        <f>IF(OR(ISBLANK(F2),F2&gt;17),0,1)</f>
        <v>0</v>
      </c>
      <c r="AC5" s="165"/>
      <c r="AD5" s="165"/>
      <c r="AE5" s="165"/>
      <c r="AF5" s="165"/>
    </row>
    <row r="6" spans="1:32" x14ac:dyDescent="0.25">
      <c r="A6" s="1" t="s">
        <v>123</v>
      </c>
      <c r="C6" s="2">
        <f>D18*0.01*C4</f>
        <v>0</v>
      </c>
      <c r="G6" s="2"/>
      <c r="H6" s="2"/>
      <c r="I6" s="2"/>
      <c r="J6" s="2"/>
      <c r="P6" s="2">
        <v>0</v>
      </c>
      <c r="R6">
        <v>2024</v>
      </c>
      <c r="T6" s="249" t="str">
        <f>G1</f>
        <v>Kind 4</v>
      </c>
      <c r="U6">
        <f>IF(OR(ISBLANK(G2),G2&gt;17),0,1)</f>
        <v>0</v>
      </c>
      <c r="AC6" s="165"/>
      <c r="AD6" s="165"/>
      <c r="AE6" s="165"/>
      <c r="AF6" s="165"/>
    </row>
    <row r="7" spans="1:32" x14ac:dyDescent="0.25">
      <c r="A7" s="1" t="s">
        <v>124</v>
      </c>
      <c r="B7" s="39"/>
      <c r="C7" s="10">
        <v>0</v>
      </c>
      <c r="D7" s="10">
        <v>0</v>
      </c>
      <c r="E7" s="10">
        <v>0</v>
      </c>
      <c r="F7" s="10">
        <v>0</v>
      </c>
      <c r="G7" s="10">
        <v>0</v>
      </c>
      <c r="H7" s="10">
        <v>0</v>
      </c>
      <c r="I7" s="10">
        <v>0</v>
      </c>
      <c r="J7" s="10">
        <v>0</v>
      </c>
      <c r="P7" s="2">
        <f t="shared" ref="P7:P12" si="3">0.008*O7</f>
        <v>0</v>
      </c>
      <c r="R7" t="s">
        <v>1</v>
      </c>
      <c r="T7" s="249" t="str">
        <f>H1</f>
        <v>Kind 5</v>
      </c>
      <c r="U7">
        <f>IF(OR(ISBLANK(H2),H2&gt;17),0,1)</f>
        <v>0</v>
      </c>
      <c r="AB7" s="13"/>
      <c r="AC7" s="165"/>
      <c r="AD7" s="165"/>
      <c r="AE7" s="165"/>
      <c r="AF7" s="165"/>
    </row>
    <row r="8" spans="1:32" x14ac:dyDescent="0.25">
      <c r="A8" s="1" t="s">
        <v>125</v>
      </c>
      <c r="B8" s="10">
        <v>0</v>
      </c>
      <c r="C8" s="2">
        <f t="shared" ref="C8:J8" si="4">IF(C4&gt;0,$B8/$T46,0)</f>
        <v>0</v>
      </c>
      <c r="D8" s="2">
        <f t="shared" si="4"/>
        <v>0</v>
      </c>
      <c r="E8" s="2">
        <f t="shared" si="4"/>
        <v>0</v>
      </c>
      <c r="F8" s="2">
        <f t="shared" si="4"/>
        <v>0</v>
      </c>
      <c r="G8" s="2">
        <f t="shared" si="4"/>
        <v>0</v>
      </c>
      <c r="H8" s="2">
        <f t="shared" si="4"/>
        <v>0</v>
      </c>
      <c r="I8" s="2">
        <f t="shared" si="4"/>
        <v>0</v>
      </c>
      <c r="J8" s="2">
        <f t="shared" si="4"/>
        <v>0</v>
      </c>
      <c r="N8">
        <v>1</v>
      </c>
      <c r="O8">
        <f>$AC$32</f>
        <v>357</v>
      </c>
      <c r="P8" s="2">
        <f t="shared" si="3"/>
        <v>2.8559999999999999</v>
      </c>
      <c r="R8" t="s">
        <v>408</v>
      </c>
      <c r="T8" s="249" t="str">
        <f>I1</f>
        <v>Kind 6</v>
      </c>
      <c r="U8">
        <f>IF(OR(ISBLANK(I2),I2&gt;17),0,1)</f>
        <v>0</v>
      </c>
      <c r="AC8" s="165"/>
      <c r="AD8" s="165"/>
      <c r="AE8" s="165"/>
      <c r="AF8" s="165"/>
    </row>
    <row r="9" spans="1:32" x14ac:dyDescent="0.25">
      <c r="A9" s="1" t="s">
        <v>126</v>
      </c>
      <c r="B9" s="10">
        <v>0</v>
      </c>
      <c r="C9" s="2">
        <f t="shared" ref="C9:J9" si="5">IF(C4&gt;0,$B9/$T46,0)</f>
        <v>0</v>
      </c>
      <c r="D9" s="2">
        <f t="shared" si="5"/>
        <v>0</v>
      </c>
      <c r="E9" s="2">
        <f t="shared" si="5"/>
        <v>0</v>
      </c>
      <c r="F9" s="2">
        <f t="shared" si="5"/>
        <v>0</v>
      </c>
      <c r="G9" s="2">
        <f t="shared" si="5"/>
        <v>0</v>
      </c>
      <c r="H9" s="2">
        <f t="shared" si="5"/>
        <v>0</v>
      </c>
      <c r="I9" s="2">
        <f t="shared" si="5"/>
        <v>0</v>
      </c>
      <c r="J9" s="2">
        <f t="shared" si="5"/>
        <v>0</v>
      </c>
      <c r="N9">
        <v>2</v>
      </c>
      <c r="O9">
        <f>$AC$32</f>
        <v>357</v>
      </c>
      <c r="P9" s="2">
        <f t="shared" si="3"/>
        <v>2.8559999999999999</v>
      </c>
      <c r="R9" t="s">
        <v>5</v>
      </c>
      <c r="T9" s="249" t="str">
        <f>J1</f>
        <v>Kind 7</v>
      </c>
      <c r="U9">
        <f>IF(OR(ISBLANK(J2),J2&gt;17),0,1)</f>
        <v>0</v>
      </c>
      <c r="AC9" s="165"/>
      <c r="AD9" s="165"/>
      <c r="AE9" s="165"/>
      <c r="AF9" s="165"/>
    </row>
    <row r="10" spans="1:32" x14ac:dyDescent="0.25">
      <c r="A10" s="1" t="s">
        <v>127</v>
      </c>
      <c r="B10" s="10">
        <v>0</v>
      </c>
      <c r="C10" s="2">
        <f t="shared" ref="C10:J10" si="6">IF(C4&gt;0,$B10/$T46,0)</f>
        <v>0</v>
      </c>
      <c r="D10" s="2">
        <f t="shared" si="6"/>
        <v>0</v>
      </c>
      <c r="E10" s="2">
        <f t="shared" si="6"/>
        <v>0</v>
      </c>
      <c r="F10" s="2">
        <f t="shared" si="6"/>
        <v>0</v>
      </c>
      <c r="G10" s="2">
        <f t="shared" si="6"/>
        <v>0</v>
      </c>
      <c r="H10" s="2">
        <f t="shared" si="6"/>
        <v>0</v>
      </c>
      <c r="I10" s="2">
        <f t="shared" si="6"/>
        <v>0</v>
      </c>
      <c r="J10" s="2">
        <f t="shared" si="6"/>
        <v>0</v>
      </c>
      <c r="N10">
        <v>3</v>
      </c>
      <c r="O10">
        <f>$AC$32</f>
        <v>357</v>
      </c>
      <c r="P10" s="2">
        <f t="shared" si="3"/>
        <v>2.8559999999999999</v>
      </c>
      <c r="R10">
        <v>2022</v>
      </c>
      <c r="T10" s="77"/>
      <c r="U10">
        <f>SUM(U2:U9)</f>
        <v>0</v>
      </c>
      <c r="AC10" s="165"/>
      <c r="AD10" s="165"/>
      <c r="AE10" s="165"/>
      <c r="AF10" s="165"/>
    </row>
    <row r="11" spans="1:32" x14ac:dyDescent="0.25">
      <c r="A11" s="41" t="s">
        <v>128</v>
      </c>
      <c r="B11" s="42">
        <f>SUM(C11:J11)</f>
        <v>563</v>
      </c>
      <c r="C11" s="40">
        <f t="shared" ref="C11:J11" si="7">SUM(C4:C10)</f>
        <v>563</v>
      </c>
      <c r="D11" s="40">
        <f t="shared" si="7"/>
        <v>0</v>
      </c>
      <c r="E11" s="40">
        <f t="shared" si="7"/>
        <v>0</v>
      </c>
      <c r="F11" s="40">
        <f t="shared" si="7"/>
        <v>0</v>
      </c>
      <c r="G11" s="40">
        <f t="shared" si="7"/>
        <v>0</v>
      </c>
      <c r="H11" s="40">
        <f t="shared" si="7"/>
        <v>0</v>
      </c>
      <c r="I11" s="40">
        <f t="shared" si="7"/>
        <v>0</v>
      </c>
      <c r="J11" s="40">
        <f t="shared" si="7"/>
        <v>0</v>
      </c>
      <c r="N11">
        <v>4</v>
      </c>
      <c r="O11">
        <f>$AC$32</f>
        <v>357</v>
      </c>
      <c r="P11" s="2">
        <f t="shared" si="3"/>
        <v>2.8559999999999999</v>
      </c>
      <c r="R11">
        <v>2021</v>
      </c>
    </row>
    <row r="12" spans="1:32" ht="10.5" hidden="1" customHeight="1" x14ac:dyDescent="0.25">
      <c r="C12" s="2" t="s">
        <v>129</v>
      </c>
      <c r="D12" s="11">
        <f t="shared" ref="D12:J12" si="8">IF(AND(D2&gt;0,D2&lt;18), 1,0)</f>
        <v>0</v>
      </c>
      <c r="E12" s="11">
        <f t="shared" si="8"/>
        <v>0</v>
      </c>
      <c r="F12" s="11">
        <f t="shared" si="8"/>
        <v>0</v>
      </c>
      <c r="G12" s="11">
        <f t="shared" si="8"/>
        <v>0</v>
      </c>
      <c r="H12" s="11">
        <f t="shared" si="8"/>
        <v>0</v>
      </c>
      <c r="I12" s="11">
        <f t="shared" si="8"/>
        <v>0</v>
      </c>
      <c r="J12" s="11">
        <f t="shared" si="8"/>
        <v>0</v>
      </c>
      <c r="N12">
        <v>5</v>
      </c>
      <c r="O12">
        <f>$AC$32</f>
        <v>357</v>
      </c>
      <c r="P12" s="2">
        <f t="shared" si="3"/>
        <v>2.8559999999999999</v>
      </c>
      <c r="R12">
        <v>2020</v>
      </c>
    </row>
    <row r="13" spans="1:32" ht="10.5" hidden="1" customHeight="1" x14ac:dyDescent="0.25">
      <c r="C13" s="2" t="s">
        <v>130</v>
      </c>
      <c r="D13" s="12">
        <f>IF(K17&gt;2,K17*0.12,L18)</f>
        <v>0</v>
      </c>
      <c r="G13" s="2"/>
      <c r="H13" s="2"/>
      <c r="I13" s="2"/>
      <c r="J13" s="2"/>
      <c r="N13">
        <v>6</v>
      </c>
      <c r="O13">
        <f t="shared" ref="O13:O20" si="9">$AC$31</f>
        <v>390</v>
      </c>
      <c r="P13" s="2">
        <f>0.012*O13</f>
        <v>4.68</v>
      </c>
    </row>
    <row r="14" spans="1:32" ht="10.5" hidden="1" customHeight="1" x14ac:dyDescent="0.25">
      <c r="C14" s="2" t="s">
        <v>131</v>
      </c>
      <c r="D14">
        <f t="shared" ref="D14:J14" si="10">IF(AND(D2&gt;0,D2&lt;16),100,0)</f>
        <v>0</v>
      </c>
      <c r="E14">
        <f t="shared" si="10"/>
        <v>0</v>
      </c>
      <c r="F14">
        <f t="shared" si="10"/>
        <v>0</v>
      </c>
      <c r="G14">
        <f t="shared" si="10"/>
        <v>0</v>
      </c>
      <c r="H14">
        <f t="shared" si="10"/>
        <v>0</v>
      </c>
      <c r="I14">
        <f t="shared" si="10"/>
        <v>0</v>
      </c>
      <c r="J14">
        <f t="shared" si="10"/>
        <v>0</v>
      </c>
      <c r="N14">
        <v>7</v>
      </c>
      <c r="O14">
        <f t="shared" si="9"/>
        <v>390</v>
      </c>
      <c r="P14" s="2">
        <f t="shared" ref="P14:P20" si="11">0.012*O14</f>
        <v>4.68</v>
      </c>
    </row>
    <row r="15" spans="1:32" ht="10.5" hidden="1" customHeight="1" x14ac:dyDescent="0.25">
      <c r="C15" s="2" t="s">
        <v>132</v>
      </c>
      <c r="G15" s="2"/>
      <c r="H15" s="2"/>
      <c r="J15" s="2"/>
      <c r="N15">
        <v>8</v>
      </c>
      <c r="O15">
        <f t="shared" si="9"/>
        <v>390</v>
      </c>
      <c r="P15" s="2">
        <f t="shared" si="11"/>
        <v>4.68</v>
      </c>
    </row>
    <row r="16" spans="1:32" ht="10.5" hidden="1" customHeight="1" x14ac:dyDescent="0.25">
      <c r="C16" s="2"/>
      <c r="G16" s="2"/>
      <c r="H16" s="2"/>
      <c r="I16" s="2"/>
      <c r="J16" s="2"/>
      <c r="K16" s="13" t="s">
        <v>133</v>
      </c>
      <c r="N16">
        <v>9</v>
      </c>
      <c r="O16">
        <f t="shared" si="9"/>
        <v>390</v>
      </c>
      <c r="P16" s="2">
        <f t="shared" si="11"/>
        <v>4.68</v>
      </c>
    </row>
    <row r="17" spans="1:57" ht="10.5" hidden="1" customHeight="1" x14ac:dyDescent="0.25">
      <c r="C17" s="2" t="s">
        <v>134</v>
      </c>
      <c r="D17">
        <f>IF(K20&gt;36,K20,IF(AND(K18=0,K19=0),K20,IF(OR(K18&gt;0,K19&gt;0),36,K20)))</f>
        <v>0</v>
      </c>
      <c r="G17" s="2"/>
      <c r="H17" s="2"/>
      <c r="I17" s="2"/>
      <c r="J17" s="2"/>
      <c r="K17" s="14">
        <f>SUM(D12:J12)</f>
        <v>0</v>
      </c>
      <c r="N17">
        <v>10</v>
      </c>
      <c r="O17">
        <f t="shared" si="9"/>
        <v>390</v>
      </c>
      <c r="P17" s="2">
        <f t="shared" si="11"/>
        <v>4.68</v>
      </c>
    </row>
    <row r="18" spans="1:57" ht="10.5" hidden="1" customHeight="1" x14ac:dyDescent="0.25">
      <c r="C18" s="2" t="s">
        <v>135</v>
      </c>
      <c r="D18">
        <f>IF(D17&gt;60,60,D17)</f>
        <v>0</v>
      </c>
      <c r="G18" s="2"/>
      <c r="H18" s="2"/>
      <c r="I18" s="2"/>
      <c r="J18" s="2"/>
      <c r="K18" s="13">
        <f>IF(OR(D2&lt;7*(AND(D2&gt;0)),E2&lt;7*(AND(E2&gt;0)),F2&lt;7*(AND(F2&gt;0)),G2&lt;7*(AND(G2&gt;0)),H2&lt;7*(AND(H2&gt;0)),I2&lt;7*(AND(I2&gt;0)),J2&lt;7*(AND(J2&gt;0))),36,0)</f>
        <v>0</v>
      </c>
      <c r="N18">
        <v>11</v>
      </c>
      <c r="O18">
        <f t="shared" si="9"/>
        <v>390</v>
      </c>
      <c r="P18" s="2">
        <f t="shared" si="11"/>
        <v>4.68</v>
      </c>
    </row>
    <row r="19" spans="1:57" ht="7.5" customHeight="1" x14ac:dyDescent="0.25">
      <c r="C19" s="2"/>
      <c r="G19" s="2"/>
      <c r="H19" s="2"/>
      <c r="I19" s="2"/>
      <c r="J19" s="2"/>
      <c r="K19" s="13">
        <f>IF(SUM(D14:J14)&gt;100,36,0)</f>
        <v>0</v>
      </c>
      <c r="N19">
        <v>12</v>
      </c>
      <c r="O19">
        <f t="shared" si="9"/>
        <v>390</v>
      </c>
      <c r="P19" s="2">
        <f t="shared" si="11"/>
        <v>4.68</v>
      </c>
    </row>
    <row r="20" spans="1:57" x14ac:dyDescent="0.25">
      <c r="A20" s="26" t="s">
        <v>136</v>
      </c>
      <c r="C20" s="2"/>
      <c r="K20" s="14">
        <f>K17*12</f>
        <v>0</v>
      </c>
      <c r="N20">
        <v>13</v>
      </c>
      <c r="O20">
        <f t="shared" si="9"/>
        <v>390</v>
      </c>
      <c r="P20" s="2">
        <f t="shared" si="11"/>
        <v>4.68</v>
      </c>
    </row>
    <row r="21" spans="1:57" x14ac:dyDescent="0.25">
      <c r="A21" s="1" t="s">
        <v>137</v>
      </c>
      <c r="C21" s="2"/>
      <c r="N21">
        <v>14</v>
      </c>
      <c r="O21">
        <f>$AC$30</f>
        <v>471</v>
      </c>
      <c r="P21" s="2">
        <f>0.014*O21</f>
        <v>6.5940000000000003</v>
      </c>
      <c r="T21" s="421" t="s">
        <v>138</v>
      </c>
      <c r="U21" s="422"/>
      <c r="V21" s="422"/>
      <c r="W21" s="422"/>
      <c r="X21" s="422"/>
      <c r="Y21" s="422"/>
      <c r="Z21" s="422"/>
      <c r="AA21" s="423"/>
      <c r="AC21" s="112" t="s">
        <v>139</v>
      </c>
      <c r="AD21" s="112"/>
      <c r="AE21" s="112"/>
      <c r="AF21" s="112"/>
      <c r="AG21" s="112"/>
      <c r="AH21" s="112"/>
      <c r="AI21" s="112"/>
      <c r="AJ21" s="112"/>
    </row>
    <row r="22" spans="1:57" x14ac:dyDescent="0.25">
      <c r="A22" s="1" t="s">
        <v>140</v>
      </c>
      <c r="B22" s="364"/>
      <c r="C22" s="10">
        <v>0</v>
      </c>
      <c r="D22" s="10">
        <v>0</v>
      </c>
      <c r="E22" s="10">
        <v>0</v>
      </c>
      <c r="F22" s="10">
        <v>0</v>
      </c>
      <c r="G22" s="10">
        <v>0</v>
      </c>
      <c r="H22" s="10">
        <v>0</v>
      </c>
      <c r="I22" s="10">
        <v>0</v>
      </c>
      <c r="J22" s="10">
        <v>0</v>
      </c>
      <c r="N22">
        <v>15</v>
      </c>
      <c r="O22">
        <f>$AC$30</f>
        <v>471</v>
      </c>
      <c r="P22" s="2">
        <f>0.014*O22</f>
        <v>6.5940000000000003</v>
      </c>
      <c r="T22" s="343" t="s">
        <v>141</v>
      </c>
      <c r="U22" s="24" t="s">
        <v>35</v>
      </c>
      <c r="V22" s="24" t="s">
        <v>36</v>
      </c>
      <c r="W22" s="24" t="s">
        <v>37</v>
      </c>
      <c r="X22" s="24" t="s">
        <v>38</v>
      </c>
      <c r="Y22" s="24" t="s">
        <v>39</v>
      </c>
      <c r="Z22" s="24" t="s">
        <v>40</v>
      </c>
      <c r="AA22" s="344" t="s">
        <v>41</v>
      </c>
      <c r="AC22" s="112" t="s">
        <v>142</v>
      </c>
      <c r="AD22" s="113" t="s">
        <v>143</v>
      </c>
      <c r="AE22" s="112"/>
      <c r="AF22" s="112"/>
      <c r="AG22" s="112"/>
      <c r="AH22" s="112"/>
      <c r="AI22" s="112"/>
      <c r="AJ22" s="112"/>
    </row>
    <row r="23" spans="1:57" x14ac:dyDescent="0.25">
      <c r="A23" s="1" t="s">
        <v>144</v>
      </c>
      <c r="C23" s="10">
        <v>0</v>
      </c>
      <c r="D23" s="10">
        <v>0</v>
      </c>
      <c r="E23" s="10">
        <v>0</v>
      </c>
      <c r="F23" s="10">
        <v>0</v>
      </c>
      <c r="G23" s="10">
        <v>0</v>
      </c>
      <c r="H23" s="10">
        <v>0</v>
      </c>
      <c r="I23" s="10">
        <v>0</v>
      </c>
      <c r="J23" s="10">
        <v>0</v>
      </c>
      <c r="N23">
        <v>16</v>
      </c>
      <c r="O23">
        <f>$AC$30</f>
        <v>471</v>
      </c>
      <c r="P23" s="2">
        <f>0.014*O23</f>
        <v>6.5940000000000003</v>
      </c>
      <c r="T23" s="345" t="b">
        <v>0</v>
      </c>
      <c r="U23" s="313" t="b">
        <v>0</v>
      </c>
      <c r="V23" s="313" t="b">
        <v>0</v>
      </c>
      <c r="W23" s="313" t="b">
        <v>0</v>
      </c>
      <c r="X23" s="313" t="b">
        <v>0</v>
      </c>
      <c r="Y23" s="313" t="b">
        <v>0</v>
      </c>
      <c r="Z23" s="313" t="b">
        <v>0</v>
      </c>
      <c r="AA23" s="315" t="b">
        <v>0</v>
      </c>
      <c r="AC23" s="112">
        <f>VLOOKUP($B$1,$AD$23:$AJ$31,2,FALSE)</f>
        <v>563</v>
      </c>
      <c r="AD23" s="112">
        <v>2026</v>
      </c>
      <c r="AE23" s="112">
        <v>563</v>
      </c>
      <c r="AF23" s="112">
        <v>506</v>
      </c>
      <c r="AG23" s="112">
        <v>451</v>
      </c>
      <c r="AH23" s="112">
        <v>471</v>
      </c>
      <c r="AI23" s="112">
        <v>390</v>
      </c>
      <c r="AJ23" s="112">
        <v>357</v>
      </c>
    </row>
    <row r="24" spans="1:57" ht="30.6" customHeight="1" x14ac:dyDescent="0.25">
      <c r="A24" s="365" t="str">
        <f>IF(OR(B1="ab 7/2023",B1=2024,B1=2025,B1=2026),"steuerlich privilegiertes Eink. ab Juli 2023 nicht eintragen!","Erwerbseinkommen steuerlich privilegiert")</f>
        <v>steuerlich privilegiertes Eink. ab Juli 2023 nicht eintragen!</v>
      </c>
      <c r="C24" s="366"/>
      <c r="D24" s="366">
        <v>0</v>
      </c>
      <c r="E24" s="366">
        <v>0</v>
      </c>
      <c r="F24" s="366">
        <v>0</v>
      </c>
      <c r="G24" s="366">
        <v>0</v>
      </c>
      <c r="H24" s="366">
        <v>0</v>
      </c>
      <c r="I24" s="366">
        <v>0</v>
      </c>
      <c r="J24" s="366">
        <v>0</v>
      </c>
      <c r="N24">
        <v>17</v>
      </c>
      <c r="O24">
        <f>$AC$30</f>
        <v>471</v>
      </c>
      <c r="P24" s="2">
        <f>0.014*O24</f>
        <v>6.5940000000000003</v>
      </c>
      <c r="AC24" s="112">
        <f>VLOOKUP($B$1,$AD$23:$AJ$31,2,FALSE)</f>
        <v>563</v>
      </c>
      <c r="AD24" s="112">
        <v>2025</v>
      </c>
      <c r="AE24" s="112">
        <v>563</v>
      </c>
      <c r="AF24" s="112">
        <v>506</v>
      </c>
      <c r="AG24" s="112">
        <v>451</v>
      </c>
      <c r="AH24" s="112">
        <v>471</v>
      </c>
      <c r="AI24" s="112">
        <v>390</v>
      </c>
      <c r="AJ24" s="112">
        <v>357</v>
      </c>
    </row>
    <row r="25" spans="1:57" ht="18" hidden="1" customHeight="1" x14ac:dyDescent="0.25">
      <c r="A25" s="365"/>
      <c r="C25" s="363">
        <f>IF($B1="ab 7/2023",0,C24)</f>
        <v>0</v>
      </c>
      <c r="D25" s="363">
        <f t="shared" ref="D25:J25" si="12">IF($B1="ab 7/2023",0,D24)</f>
        <v>0</v>
      </c>
      <c r="E25" s="363">
        <f t="shared" si="12"/>
        <v>0</v>
      </c>
      <c r="F25" s="363">
        <f t="shared" si="12"/>
        <v>0</v>
      </c>
      <c r="G25" s="363">
        <f t="shared" si="12"/>
        <v>0</v>
      </c>
      <c r="H25" s="363">
        <f t="shared" si="12"/>
        <v>0</v>
      </c>
      <c r="I25" s="363">
        <f t="shared" si="12"/>
        <v>0</v>
      </c>
      <c r="J25" s="363">
        <f t="shared" si="12"/>
        <v>0</v>
      </c>
      <c r="O25">
        <f>$AC$29</f>
        <v>451</v>
      </c>
      <c r="AC25" s="112">
        <f>VLOOKUP($B$1,$AD$23:$AJ$31,2,FALSE)</f>
        <v>563</v>
      </c>
      <c r="AD25" s="112">
        <v>2024</v>
      </c>
      <c r="AE25" s="112">
        <v>563</v>
      </c>
      <c r="AF25" s="112">
        <v>506</v>
      </c>
      <c r="AG25" s="112">
        <v>451</v>
      </c>
      <c r="AH25" s="112">
        <v>471</v>
      </c>
      <c r="AI25" s="112">
        <v>390</v>
      </c>
      <c r="AJ25" s="112">
        <v>357</v>
      </c>
    </row>
    <row r="26" spans="1:57" x14ac:dyDescent="0.25">
      <c r="A26" s="1" t="s">
        <v>145</v>
      </c>
      <c r="C26" s="25">
        <f>IF($B1="ab 7/2023",C23,C24+C23)</f>
        <v>0</v>
      </c>
      <c r="D26" s="25">
        <f t="shared" ref="D26:J26" si="13">D24+D23</f>
        <v>0</v>
      </c>
      <c r="E26" s="25">
        <f t="shared" si="13"/>
        <v>0</v>
      </c>
      <c r="F26" s="25">
        <f t="shared" si="13"/>
        <v>0</v>
      </c>
      <c r="G26" s="25">
        <f>G24+G23</f>
        <v>0</v>
      </c>
      <c r="H26" s="25">
        <f t="shared" si="13"/>
        <v>0</v>
      </c>
      <c r="I26" s="25">
        <f t="shared" si="13"/>
        <v>0</v>
      </c>
      <c r="J26" s="25">
        <f t="shared" si="13"/>
        <v>0</v>
      </c>
      <c r="N26">
        <v>18</v>
      </c>
      <c r="O26">
        <f>$AC$29</f>
        <v>451</v>
      </c>
      <c r="P26" s="2">
        <f t="shared" ref="P26:P39" si="14">0.023*O26</f>
        <v>10.372999999999999</v>
      </c>
      <c r="AC26" s="112">
        <f>VLOOKUP($B$1,$AD$23:$AJ$31,2,FALSE)</f>
        <v>563</v>
      </c>
      <c r="AD26" s="112" t="s">
        <v>1</v>
      </c>
      <c r="AE26" s="112">
        <v>502</v>
      </c>
      <c r="AF26" s="112">
        <v>451</v>
      </c>
      <c r="AG26" s="112">
        <v>402</v>
      </c>
      <c r="AH26" s="112">
        <v>420</v>
      </c>
      <c r="AI26" s="112">
        <v>348</v>
      </c>
      <c r="AJ26" s="112">
        <v>318</v>
      </c>
    </row>
    <row r="27" spans="1:57" x14ac:dyDescent="0.25">
      <c r="A27" s="1" t="s">
        <v>100</v>
      </c>
      <c r="C27" s="25">
        <f t="shared" ref="C27:J27" si="15">IF(AND($W1=TRUE,T23=TRUE),R58,IF(L31&gt;C22+C24,C22+C24,L31))</f>
        <v>0</v>
      </c>
      <c r="D27" s="25">
        <f t="shared" si="15"/>
        <v>0</v>
      </c>
      <c r="E27" s="25">
        <f t="shared" si="15"/>
        <v>0</v>
      </c>
      <c r="F27" s="25">
        <f t="shared" si="15"/>
        <v>0</v>
      </c>
      <c r="G27" s="25">
        <f t="shared" si="15"/>
        <v>0</v>
      </c>
      <c r="H27" s="25">
        <f t="shared" si="15"/>
        <v>0</v>
      </c>
      <c r="I27" s="25">
        <f t="shared" si="15"/>
        <v>0</v>
      </c>
      <c r="J27" s="25">
        <f t="shared" si="15"/>
        <v>0</v>
      </c>
      <c r="N27">
        <v>19</v>
      </c>
      <c r="O27">
        <f>$AC$29</f>
        <v>451</v>
      </c>
      <c r="P27" s="2">
        <f t="shared" si="14"/>
        <v>10.372999999999999</v>
      </c>
      <c r="AC27" s="112">
        <f>VLOOKUP($B$1,$AD$23:$AJ$31,3,FALSE)</f>
        <v>506</v>
      </c>
      <c r="AD27" s="112" t="s">
        <v>408</v>
      </c>
      <c r="AE27" s="112">
        <v>502</v>
      </c>
      <c r="AF27" s="112">
        <v>451</v>
      </c>
      <c r="AG27" s="112">
        <v>402</v>
      </c>
      <c r="AH27" s="112">
        <v>420</v>
      </c>
      <c r="AI27" s="112">
        <v>348</v>
      </c>
      <c r="AJ27" s="112">
        <v>318</v>
      </c>
    </row>
    <row r="28" spans="1:57" x14ac:dyDescent="0.25">
      <c r="A28" s="1" t="s">
        <v>146</v>
      </c>
      <c r="C28" s="25">
        <f t="shared" ref="C28:J28" si="16">IF(AND($W1=TRUE,T23=TRUE),R59,IF($L48&gt;0,IF(R53-100&lt;0,0,R53-100),IF(R56-100&lt;0,0,R56-100)))</f>
        <v>0</v>
      </c>
      <c r="D28" s="25">
        <f>IF(AND($W1=TRUE,U23=TRUE),S59,IF($U10&gt;0,IF(S53-100&lt;0,0,S53-100),IF(S56-100&lt;0,0,S56-100)))</f>
        <v>0</v>
      </c>
      <c r="E28" s="25">
        <f t="shared" si="16"/>
        <v>0</v>
      </c>
      <c r="F28" s="25">
        <f t="shared" si="16"/>
        <v>0</v>
      </c>
      <c r="G28" s="25">
        <f t="shared" si="16"/>
        <v>0</v>
      </c>
      <c r="H28" s="25">
        <f t="shared" si="16"/>
        <v>0</v>
      </c>
      <c r="I28" s="25">
        <f t="shared" si="16"/>
        <v>0</v>
      </c>
      <c r="J28" s="25">
        <f t="shared" si="16"/>
        <v>0</v>
      </c>
      <c r="N28">
        <v>20</v>
      </c>
      <c r="O28">
        <f>$AC$29</f>
        <v>451</v>
      </c>
      <c r="P28" s="2">
        <f t="shared" si="14"/>
        <v>10.372999999999999</v>
      </c>
      <c r="AC28" s="112"/>
      <c r="AD28" s="112"/>
      <c r="AE28" s="112"/>
      <c r="AF28" s="112"/>
      <c r="AG28" s="112"/>
      <c r="AH28" s="112"/>
      <c r="AI28" s="112"/>
      <c r="AJ28" s="112"/>
    </row>
    <row r="29" spans="1:57" ht="30" x14ac:dyDescent="0.25">
      <c r="A29" s="1" t="s">
        <v>28</v>
      </c>
      <c r="C29" s="33">
        <v>0</v>
      </c>
      <c r="D29" s="33">
        <v>0</v>
      </c>
      <c r="E29" s="33">
        <v>0</v>
      </c>
      <c r="F29" s="33">
        <v>0</v>
      </c>
      <c r="G29" s="33">
        <v>0</v>
      </c>
      <c r="H29" s="33">
        <v>0</v>
      </c>
      <c r="I29" s="33">
        <v>0</v>
      </c>
      <c r="J29" s="33">
        <v>0</v>
      </c>
      <c r="N29">
        <v>21</v>
      </c>
      <c r="O29">
        <f>$AC$29</f>
        <v>451</v>
      </c>
      <c r="P29" s="2">
        <f t="shared" si="14"/>
        <v>10.372999999999999</v>
      </c>
      <c r="AC29" s="112">
        <f>VLOOKUP($B$1,$AD$23:$AJ$31,4,FALSE)</f>
        <v>451</v>
      </c>
      <c r="AD29" s="112" t="s">
        <v>5</v>
      </c>
      <c r="AE29" s="112">
        <v>449</v>
      </c>
      <c r="AF29" s="112">
        <v>404</v>
      </c>
      <c r="AG29" s="112">
        <v>360</v>
      </c>
      <c r="AH29" s="112">
        <v>376</v>
      </c>
      <c r="AI29" s="112">
        <v>311</v>
      </c>
      <c r="AJ29" s="112">
        <v>285</v>
      </c>
    </row>
    <row r="30" spans="1:57" s="62" customFormat="1" x14ac:dyDescent="0.25">
      <c r="A30" s="116" t="s">
        <v>30</v>
      </c>
      <c r="C30" s="117">
        <f>IF(C26-C27-C28-C29&gt;0,C26-C27-C28-C29,0)</f>
        <v>0</v>
      </c>
      <c r="D30" s="117">
        <f t="shared" ref="D30:J30" si="17">IF(D26-D27-D28-D29&gt;0,D26-D27-D28-D29,0)</f>
        <v>0</v>
      </c>
      <c r="E30" s="117">
        <f t="shared" si="17"/>
        <v>0</v>
      </c>
      <c r="F30" s="117">
        <f t="shared" si="17"/>
        <v>0</v>
      </c>
      <c r="G30" s="117">
        <f t="shared" si="17"/>
        <v>0</v>
      </c>
      <c r="H30" s="117">
        <f t="shared" si="17"/>
        <v>0</v>
      </c>
      <c r="I30" s="117">
        <f t="shared" si="17"/>
        <v>0</v>
      </c>
      <c r="J30" s="117">
        <f t="shared" si="17"/>
        <v>0</v>
      </c>
      <c r="K30" s="418" t="s">
        <v>147</v>
      </c>
      <c r="L30" s="418"/>
      <c r="M30" s="418"/>
      <c r="P30" s="118"/>
      <c r="AB30"/>
      <c r="AC30" s="112">
        <f>VLOOKUP($B$1,$AD$23:$AJ$31,5,FALSE)</f>
        <v>471</v>
      </c>
      <c r="AD30" s="112">
        <v>2022</v>
      </c>
      <c r="AE30" s="112">
        <v>449</v>
      </c>
      <c r="AF30" s="112">
        <v>404</v>
      </c>
      <c r="AG30" s="112">
        <v>360</v>
      </c>
      <c r="AH30" s="112">
        <v>376</v>
      </c>
      <c r="AI30" s="112">
        <v>311</v>
      </c>
      <c r="AJ30" s="112">
        <v>285</v>
      </c>
      <c r="AK30"/>
      <c r="AL30"/>
      <c r="AM30"/>
      <c r="AN30"/>
      <c r="AO30"/>
      <c r="AP30"/>
      <c r="AQ30"/>
      <c r="AR30"/>
      <c r="AS30"/>
      <c r="AT30"/>
      <c r="AU30"/>
      <c r="AV30"/>
      <c r="AW30"/>
      <c r="AX30"/>
      <c r="AY30"/>
      <c r="AZ30"/>
      <c r="BA30"/>
      <c r="BB30"/>
      <c r="BC30"/>
      <c r="BD30"/>
      <c r="BE30"/>
    </row>
    <row r="31" spans="1:57" x14ac:dyDescent="0.25">
      <c r="A31" s="1" t="s">
        <v>148</v>
      </c>
      <c r="C31" s="33">
        <v>0</v>
      </c>
      <c r="D31" s="33">
        <v>0</v>
      </c>
      <c r="E31" s="33">
        <v>0</v>
      </c>
      <c r="F31" s="33">
        <v>0</v>
      </c>
      <c r="G31" s="33">
        <v>0</v>
      </c>
      <c r="H31" s="33">
        <v>0</v>
      </c>
      <c r="I31" s="33">
        <v>0</v>
      </c>
      <c r="J31" s="33">
        <v>0</v>
      </c>
      <c r="K31" s="25"/>
      <c r="L31" s="13">
        <f t="shared" ref="L31:S31" si="18">IF(C24&gt;0,IF(C24+100&lt;250,C24+100,250),100)</f>
        <v>100</v>
      </c>
      <c r="M31" s="13">
        <f t="shared" si="18"/>
        <v>100</v>
      </c>
      <c r="N31" s="13">
        <f t="shared" si="18"/>
        <v>100</v>
      </c>
      <c r="O31" s="13">
        <f t="shared" si="18"/>
        <v>100</v>
      </c>
      <c r="P31" s="13">
        <f t="shared" si="18"/>
        <v>100</v>
      </c>
      <c r="Q31" s="13">
        <f t="shared" si="18"/>
        <v>100</v>
      </c>
      <c r="R31" s="13">
        <f t="shared" si="18"/>
        <v>100</v>
      </c>
      <c r="S31" s="13">
        <f t="shared" si="18"/>
        <v>100</v>
      </c>
      <c r="AC31" s="112">
        <f>VLOOKUP($B$1,$AD$23:$AJ$31,6,FALSE)</f>
        <v>390</v>
      </c>
      <c r="AD31" s="112">
        <v>2021</v>
      </c>
      <c r="AE31" s="112">
        <v>446</v>
      </c>
      <c r="AF31" s="112">
        <v>401</v>
      </c>
      <c r="AG31" s="112">
        <v>357</v>
      </c>
      <c r="AH31" s="112">
        <v>373</v>
      </c>
      <c r="AI31" s="112">
        <v>309</v>
      </c>
      <c r="AJ31" s="112">
        <v>283</v>
      </c>
    </row>
    <row r="32" spans="1:57" hidden="1" x14ac:dyDescent="0.25">
      <c r="C32" s="33"/>
      <c r="D32" s="33"/>
      <c r="E32" s="33"/>
      <c r="F32" s="33"/>
      <c r="G32" s="33"/>
      <c r="H32" s="33"/>
      <c r="I32" s="33"/>
      <c r="J32" s="33"/>
      <c r="K32" s="25" t="s">
        <v>149</v>
      </c>
      <c r="L32" s="13">
        <f>IF($B1="ab 7/2023",IF(C22&lt;100,C22,100),L31)</f>
        <v>100</v>
      </c>
      <c r="M32" s="13">
        <f t="shared" ref="M32:S32" si="19">IF($B1="ab 7/2023",IF(D22&lt;100,D22,100),M31)</f>
        <v>100</v>
      </c>
      <c r="N32" s="13">
        <f t="shared" si="19"/>
        <v>100</v>
      </c>
      <c r="O32" s="13">
        <f t="shared" si="19"/>
        <v>100</v>
      </c>
      <c r="P32" s="13">
        <f t="shared" si="19"/>
        <v>100</v>
      </c>
      <c r="Q32" s="13">
        <f t="shared" si="19"/>
        <v>100</v>
      </c>
      <c r="R32" s="13">
        <f t="shared" si="19"/>
        <v>100</v>
      </c>
      <c r="S32" s="13">
        <f t="shared" si="19"/>
        <v>100</v>
      </c>
      <c r="AC32" s="112">
        <f>VLOOKUP($B$1,$AD$23:$AJ$31,7,FALSE)</f>
        <v>357</v>
      </c>
      <c r="AD32" s="112">
        <v>2020</v>
      </c>
      <c r="AE32" s="112">
        <v>432</v>
      </c>
      <c r="AF32" s="112">
        <v>389</v>
      </c>
      <c r="AG32" s="112">
        <v>345</v>
      </c>
      <c r="AH32" s="112">
        <v>328</v>
      </c>
      <c r="AI32" s="112">
        <v>308</v>
      </c>
      <c r="AJ32" s="112">
        <v>250</v>
      </c>
    </row>
    <row r="33" spans="1:54" x14ac:dyDescent="0.25">
      <c r="A33" s="1" t="s">
        <v>150</v>
      </c>
      <c r="C33" s="33">
        <v>0</v>
      </c>
      <c r="D33" s="10">
        <v>0</v>
      </c>
      <c r="E33" s="10">
        <v>0</v>
      </c>
      <c r="F33" s="10">
        <v>0</v>
      </c>
      <c r="G33" s="10">
        <v>0</v>
      </c>
      <c r="H33" s="10">
        <v>0</v>
      </c>
      <c r="I33" s="10">
        <v>0</v>
      </c>
      <c r="J33" s="10">
        <v>0</v>
      </c>
      <c r="N33">
        <v>22</v>
      </c>
      <c r="O33">
        <f>$AC$29</f>
        <v>451</v>
      </c>
      <c r="P33" s="2">
        <f t="shared" si="14"/>
        <v>10.372999999999999</v>
      </c>
      <c r="R33" s="16">
        <f>SUM(R49:R52)</f>
        <v>0</v>
      </c>
    </row>
    <row r="34" spans="1:54" hidden="1" x14ac:dyDescent="0.25">
      <c r="A34" s="1" t="s">
        <v>150</v>
      </c>
      <c r="C34" s="17"/>
      <c r="D34" s="17">
        <f t="shared" ref="D34:J34" si="20">IF(D33&gt;0,D33,0)</f>
        <v>0</v>
      </c>
      <c r="E34" s="17">
        <f t="shared" si="20"/>
        <v>0</v>
      </c>
      <c r="F34" s="17">
        <f t="shared" si="20"/>
        <v>0</v>
      </c>
      <c r="G34" s="17">
        <f t="shared" si="20"/>
        <v>0</v>
      </c>
      <c r="H34" s="17">
        <f t="shared" si="20"/>
        <v>0</v>
      </c>
      <c r="I34" s="17">
        <f t="shared" si="20"/>
        <v>0</v>
      </c>
      <c r="J34" s="17">
        <f t="shared" si="20"/>
        <v>0</v>
      </c>
      <c r="R34" s="16"/>
    </row>
    <row r="35" spans="1:54" ht="18.75" hidden="1" customHeight="1" x14ac:dyDescent="0.25">
      <c r="A35" s="1" t="s">
        <v>151</v>
      </c>
      <c r="C35" s="18"/>
      <c r="D35" s="18">
        <f t="shared" ref="D35:J35" si="21">IF(D2&gt;=0,IF(D46&lt;=D11,0,IF(AND(D46&gt;D11,D46-D11&lt;D34),D46-D11,D33)),0)</f>
        <v>0</v>
      </c>
      <c r="E35" s="18">
        <f t="shared" si="21"/>
        <v>0</v>
      </c>
      <c r="F35" s="18">
        <f t="shared" si="21"/>
        <v>0</v>
      </c>
      <c r="G35" s="18">
        <f t="shared" si="21"/>
        <v>0</v>
      </c>
      <c r="H35" s="18">
        <f t="shared" si="21"/>
        <v>0</v>
      </c>
      <c r="I35" s="18">
        <f t="shared" si="21"/>
        <v>0</v>
      </c>
      <c r="J35" s="18">
        <f t="shared" si="21"/>
        <v>0</v>
      </c>
      <c r="N35">
        <v>23</v>
      </c>
      <c r="O35">
        <f>$AC$29</f>
        <v>451</v>
      </c>
      <c r="P35" s="2">
        <f t="shared" si="14"/>
        <v>10.372999999999999</v>
      </c>
    </row>
    <row r="36" spans="1:54" ht="21" customHeight="1" x14ac:dyDescent="0.25">
      <c r="A36" s="1" t="s">
        <v>151</v>
      </c>
      <c r="C36" s="19">
        <f>D35+E35+F35+G35+H35+I35+J35</f>
        <v>0</v>
      </c>
      <c r="D36" s="18">
        <f t="shared" ref="D36:J36" si="22">D34-D35</f>
        <v>0</v>
      </c>
      <c r="E36" s="18">
        <f t="shared" si="22"/>
        <v>0</v>
      </c>
      <c r="F36" s="18">
        <f t="shared" si="22"/>
        <v>0</v>
      </c>
      <c r="G36" s="18">
        <f t="shared" si="22"/>
        <v>0</v>
      </c>
      <c r="H36" s="18">
        <f t="shared" si="22"/>
        <v>0</v>
      </c>
      <c r="I36" s="18">
        <f t="shared" si="22"/>
        <v>0</v>
      </c>
      <c r="J36" s="18">
        <f t="shared" si="22"/>
        <v>0</v>
      </c>
    </row>
    <row r="37" spans="1:54" ht="19.5" customHeight="1" x14ac:dyDescent="0.25">
      <c r="A37" s="1" t="s">
        <v>152</v>
      </c>
      <c r="C37" s="33">
        <v>0</v>
      </c>
      <c r="D37" s="33">
        <v>0</v>
      </c>
      <c r="E37" s="33">
        <v>0</v>
      </c>
      <c r="F37" s="33">
        <v>0</v>
      </c>
      <c r="G37" s="33">
        <v>0</v>
      </c>
      <c r="H37" s="33">
        <v>0</v>
      </c>
      <c r="I37" s="33">
        <v>0</v>
      </c>
      <c r="J37" s="33">
        <v>0</v>
      </c>
    </row>
    <row r="38" spans="1:54" ht="19.5" customHeight="1" x14ac:dyDescent="0.25">
      <c r="A38" s="1" t="s">
        <v>153</v>
      </c>
      <c r="C38" s="33">
        <v>0</v>
      </c>
      <c r="D38" s="33">
        <v>0</v>
      </c>
      <c r="E38" s="33">
        <v>0</v>
      </c>
      <c r="F38" s="10">
        <v>0</v>
      </c>
      <c r="G38" s="10">
        <v>0</v>
      </c>
      <c r="H38" s="10">
        <v>0</v>
      </c>
      <c r="I38" s="10">
        <v>0</v>
      </c>
      <c r="J38" s="10">
        <v>0</v>
      </c>
    </row>
    <row r="39" spans="1:54" x14ac:dyDescent="0.25">
      <c r="A39" s="1" t="s">
        <v>154</v>
      </c>
      <c r="C39" s="33">
        <v>0</v>
      </c>
      <c r="D39" s="33">
        <v>0</v>
      </c>
      <c r="E39" s="33">
        <v>0</v>
      </c>
      <c r="F39" s="10">
        <v>0</v>
      </c>
      <c r="G39" s="10">
        <v>0</v>
      </c>
      <c r="H39" s="10">
        <v>0</v>
      </c>
      <c r="I39" s="10">
        <v>0</v>
      </c>
      <c r="J39" s="10">
        <v>0</v>
      </c>
      <c r="N39">
        <v>24</v>
      </c>
      <c r="O39">
        <f>$AC$29</f>
        <v>451</v>
      </c>
      <c r="P39" s="2">
        <f t="shared" si="14"/>
        <v>10.372999999999999</v>
      </c>
    </row>
    <row r="40" spans="1:54" x14ac:dyDescent="0.25">
      <c r="A40" s="115" t="s">
        <v>407</v>
      </c>
      <c r="C40" s="33">
        <v>0</v>
      </c>
      <c r="D40" s="33">
        <v>0</v>
      </c>
      <c r="E40" s="33">
        <v>0</v>
      </c>
      <c r="F40" s="10">
        <v>0</v>
      </c>
      <c r="G40" s="10"/>
      <c r="H40" s="10">
        <v>0</v>
      </c>
      <c r="I40" s="10">
        <v>0</v>
      </c>
      <c r="J40" s="10">
        <v>0</v>
      </c>
      <c r="K40"/>
    </row>
    <row r="41" spans="1:54" hidden="1" x14ac:dyDescent="0.25">
      <c r="A41" s="115" t="s">
        <v>155</v>
      </c>
      <c r="C41" s="33">
        <v>0</v>
      </c>
      <c r="D41" s="33">
        <v>0</v>
      </c>
      <c r="E41" s="33">
        <v>0</v>
      </c>
      <c r="F41" s="10">
        <v>0</v>
      </c>
      <c r="G41" s="10">
        <v>0</v>
      </c>
      <c r="H41" s="10">
        <v>0</v>
      </c>
      <c r="I41" s="10">
        <v>0</v>
      </c>
      <c r="J41" s="10">
        <v>0</v>
      </c>
      <c r="K41"/>
    </row>
    <row r="42" spans="1:54" ht="26.25" x14ac:dyDescent="0.25">
      <c r="A42" s="57" t="s">
        <v>405</v>
      </c>
      <c r="C42" s="25">
        <f t="shared" ref="C42:J42" si="23">IF(OR(C2&lt;18,C27&gt;=30),0,30-C27)</f>
        <v>30</v>
      </c>
      <c r="D42" s="25">
        <f t="shared" si="23"/>
        <v>0</v>
      </c>
      <c r="E42" s="25">
        <f t="shared" si="23"/>
        <v>0</v>
      </c>
      <c r="F42" s="25">
        <f t="shared" si="23"/>
        <v>0</v>
      </c>
      <c r="G42" s="25">
        <f t="shared" si="23"/>
        <v>0</v>
      </c>
      <c r="H42" s="25">
        <f t="shared" si="23"/>
        <v>0</v>
      </c>
      <c r="I42" s="25">
        <f t="shared" si="23"/>
        <v>0</v>
      </c>
      <c r="J42" s="25">
        <f t="shared" si="23"/>
        <v>0</v>
      </c>
      <c r="K42" s="77" t="s">
        <v>156</v>
      </c>
      <c r="M42">
        <f t="shared" ref="M42:S42" si="24">IF(C4&gt;0,1,0)</f>
        <v>1</v>
      </c>
      <c r="N42">
        <f t="shared" si="24"/>
        <v>0</v>
      </c>
      <c r="O42">
        <f t="shared" si="24"/>
        <v>0</v>
      </c>
      <c r="P42">
        <f t="shared" si="24"/>
        <v>0</v>
      </c>
      <c r="Q42">
        <f t="shared" si="24"/>
        <v>0</v>
      </c>
      <c r="R42">
        <f t="shared" si="24"/>
        <v>0</v>
      </c>
      <c r="S42">
        <f t="shared" si="24"/>
        <v>0</v>
      </c>
      <c r="T42">
        <f>SUM(M42:S42)</f>
        <v>1</v>
      </c>
    </row>
    <row r="43" spans="1:54" ht="26.25" x14ac:dyDescent="0.25">
      <c r="A43" s="57" t="s">
        <v>157</v>
      </c>
      <c r="C43" s="33">
        <v>0</v>
      </c>
      <c r="D43" s="33">
        <v>0</v>
      </c>
      <c r="E43" s="33">
        <v>0</v>
      </c>
      <c r="F43" s="33">
        <v>0</v>
      </c>
      <c r="G43" s="33">
        <v>0</v>
      </c>
      <c r="H43" s="33">
        <v>0</v>
      </c>
      <c r="I43" s="33">
        <v>0</v>
      </c>
      <c r="J43" s="33">
        <v>0</v>
      </c>
      <c r="M43" t="s">
        <v>158</v>
      </c>
    </row>
    <row r="44" spans="1:54" x14ac:dyDescent="0.25">
      <c r="A44" s="1" t="s">
        <v>159</v>
      </c>
      <c r="C44" s="33">
        <v>0</v>
      </c>
      <c r="D44" s="30"/>
      <c r="E44" s="30"/>
      <c r="F44" s="30"/>
      <c r="G44" s="30"/>
      <c r="H44" s="30"/>
      <c r="I44" s="30"/>
      <c r="J44" s="30"/>
      <c r="K44" s="77" t="s">
        <v>160</v>
      </c>
      <c r="M44">
        <f t="shared" ref="M44:S44" si="25">IF(D33&gt;0,1,0)</f>
        <v>0</v>
      </c>
      <c r="N44">
        <f t="shared" si="25"/>
        <v>0</v>
      </c>
      <c r="O44">
        <f t="shared" si="25"/>
        <v>0</v>
      </c>
      <c r="P44">
        <f t="shared" si="25"/>
        <v>0</v>
      </c>
      <c r="Q44">
        <f t="shared" si="25"/>
        <v>0</v>
      </c>
      <c r="R44">
        <f t="shared" si="25"/>
        <v>0</v>
      </c>
      <c r="S44">
        <f t="shared" si="25"/>
        <v>0</v>
      </c>
      <c r="T44">
        <f>SUM(M44:S44)</f>
        <v>0</v>
      </c>
    </row>
    <row r="45" spans="1:54" hidden="1" x14ac:dyDescent="0.25">
      <c r="C45" s="30"/>
      <c r="D45" s="30"/>
      <c r="E45" s="30"/>
      <c r="F45" s="30"/>
      <c r="G45" s="30"/>
      <c r="H45" s="30"/>
      <c r="I45" s="30"/>
      <c r="J45" s="30"/>
      <c r="K45" s="77"/>
      <c r="L45">
        <f t="shared" ref="L45:T45" si="26">IF(AND(L46=1,D2&lt;18),1,0)</f>
        <v>0</v>
      </c>
      <c r="M45">
        <f t="shared" si="26"/>
        <v>0</v>
      </c>
      <c r="N45">
        <f t="shared" si="26"/>
        <v>0</v>
      </c>
      <c r="O45">
        <f t="shared" si="26"/>
        <v>0</v>
      </c>
      <c r="P45">
        <f t="shared" si="26"/>
        <v>0</v>
      </c>
      <c r="Q45">
        <f t="shared" si="26"/>
        <v>0</v>
      </c>
      <c r="R45">
        <f t="shared" si="26"/>
        <v>0</v>
      </c>
      <c r="S45">
        <f t="shared" si="26"/>
        <v>0</v>
      </c>
      <c r="T45">
        <f t="shared" si="26"/>
        <v>1</v>
      </c>
    </row>
    <row r="46" spans="1:54" ht="15.75" hidden="1" x14ac:dyDescent="0.25">
      <c r="A46" s="70" t="s">
        <v>161</v>
      </c>
      <c r="B46" s="71"/>
      <c r="C46" s="72">
        <f>IF(SUM(C30:C41)-C42-C43-C44&gt;0,SUM(C30:C41)-C42-C43-C44,0)</f>
        <v>0</v>
      </c>
      <c r="D46" s="72">
        <f>IF(D30+D34+D37+D38+D39+D40+D41-D42-D43&gt;0,D30+D34+D37+D38+D39+D40+D41-D42-D43,0)</f>
        <v>0</v>
      </c>
      <c r="E46" s="72">
        <f t="shared" ref="E46:J46" si="27">IF(E30+E34+E37+E38+E39+E40+E41-E42&gt;0,E30+E34+E37+E38+E39+E40+E41-E42,0)</f>
        <v>0</v>
      </c>
      <c r="F46" s="72">
        <f t="shared" si="27"/>
        <v>0</v>
      </c>
      <c r="G46" s="72">
        <f t="shared" si="27"/>
        <v>0</v>
      </c>
      <c r="H46" s="72">
        <f t="shared" si="27"/>
        <v>0</v>
      </c>
      <c r="I46" s="72">
        <f t="shared" si="27"/>
        <v>0</v>
      </c>
      <c r="J46" s="72">
        <f t="shared" si="27"/>
        <v>0</v>
      </c>
      <c r="K46" s="72"/>
      <c r="L46" s="13">
        <f t="shared" ref="L46:S46" si="28">IF(D4&gt;0,1,0)</f>
        <v>0</v>
      </c>
      <c r="M46" s="105">
        <f t="shared" si="28"/>
        <v>0</v>
      </c>
      <c r="N46" s="105">
        <f t="shared" si="28"/>
        <v>0</v>
      </c>
      <c r="O46" s="105">
        <f t="shared" si="28"/>
        <v>0</v>
      </c>
      <c r="P46" s="105">
        <f t="shared" si="28"/>
        <v>0</v>
      </c>
      <c r="Q46" s="105">
        <f t="shared" si="28"/>
        <v>0</v>
      </c>
      <c r="R46" s="105">
        <f t="shared" si="28"/>
        <v>0</v>
      </c>
      <c r="S46" s="15">
        <f t="shared" si="28"/>
        <v>0</v>
      </c>
      <c r="T46" s="15">
        <f>L46+M46+N46+O46+P46+Q46+R46+S46+1</f>
        <v>1</v>
      </c>
      <c r="U46" s="15"/>
      <c r="V46" s="15"/>
      <c r="W46" s="15"/>
      <c r="X46" s="15"/>
      <c r="Y46" s="15"/>
      <c r="Z46" s="15"/>
      <c r="AA46" s="15"/>
      <c r="AB46" s="16"/>
    </row>
    <row r="47" spans="1:54" ht="15.75" x14ac:dyDescent="0.25">
      <c r="A47" s="70" t="s">
        <v>161</v>
      </c>
      <c r="B47" s="71">
        <f>SUM(C47:J47)</f>
        <v>0</v>
      </c>
      <c r="C47" s="72">
        <f>C46</f>
        <v>0</v>
      </c>
      <c r="D47" s="72">
        <f t="shared" ref="D47:J47" si="29">IF(D46&lt;D11,D46,D11)</f>
        <v>0</v>
      </c>
      <c r="E47" s="72">
        <f t="shared" si="29"/>
        <v>0</v>
      </c>
      <c r="F47" s="72">
        <f t="shared" si="29"/>
        <v>0</v>
      </c>
      <c r="G47" s="72">
        <f t="shared" si="29"/>
        <v>0</v>
      </c>
      <c r="H47" s="72">
        <f t="shared" si="29"/>
        <v>0</v>
      </c>
      <c r="I47" s="72">
        <f t="shared" si="29"/>
        <v>0</v>
      </c>
      <c r="J47" s="72">
        <f t="shared" si="29"/>
        <v>0</v>
      </c>
      <c r="K47" s="16"/>
      <c r="L47" s="16"/>
      <c r="M47" s="16"/>
      <c r="N47" s="16"/>
      <c r="O47" s="16"/>
      <c r="P47" s="16"/>
      <c r="Q47" s="16"/>
      <c r="R47" s="16"/>
      <c r="S47" s="16"/>
      <c r="T47" s="16"/>
      <c r="U47" s="16"/>
      <c r="V47" s="16"/>
      <c r="W47" s="16"/>
      <c r="X47" s="16"/>
      <c r="Y47" s="16"/>
      <c r="Z47" s="16"/>
      <c r="AA47" s="16"/>
      <c r="AB47" s="16"/>
    </row>
    <row r="48" spans="1:54" s="110" customFormat="1" ht="30" x14ac:dyDescent="0.25">
      <c r="A48" s="119" t="s">
        <v>162</v>
      </c>
      <c r="B48" s="120"/>
      <c r="C48" s="121">
        <f>C11</f>
        <v>563</v>
      </c>
      <c r="D48" s="122">
        <f t="shared" ref="D48:J48" si="30">IF(D11-D46&gt;0,D11-D46,0)</f>
        <v>0</v>
      </c>
      <c r="E48" s="122">
        <f t="shared" si="30"/>
        <v>0</v>
      </c>
      <c r="F48" s="122">
        <f t="shared" si="30"/>
        <v>0</v>
      </c>
      <c r="G48" s="122">
        <f t="shared" si="30"/>
        <v>0</v>
      </c>
      <c r="H48" s="122">
        <f t="shared" si="30"/>
        <v>0</v>
      </c>
      <c r="I48" s="122">
        <f t="shared" si="30"/>
        <v>0</v>
      </c>
      <c r="J48" s="122">
        <f t="shared" si="30"/>
        <v>0</v>
      </c>
      <c r="K48" s="123"/>
      <c r="L48" s="124">
        <f>IF(OR(L45&gt;0,M45&gt;0,N45&gt;0,O45&gt;0,P45&gt;0,Q45&gt;0,R45&gt;0,S45&gt;0,P1=TRUE),1,0)</f>
        <v>0</v>
      </c>
      <c r="M48" s="110">
        <f>IF(OR(L45&gt;0,M45&gt;0,N45&gt;0,O45&gt;0,P45&gt;0,Q45&gt;0,R45&gt;0,S45&gt;0),1,0)</f>
        <v>0</v>
      </c>
      <c r="Z48" s="125"/>
      <c r="AC48"/>
      <c r="AD48"/>
      <c r="AE48"/>
      <c r="AF48"/>
      <c r="AG48"/>
      <c r="AH48"/>
      <c r="AI48"/>
      <c r="AJ48"/>
      <c r="AK48"/>
      <c r="AL48"/>
      <c r="AM48"/>
      <c r="AN48"/>
      <c r="AO48"/>
      <c r="AP48"/>
      <c r="AQ48"/>
      <c r="AR48"/>
      <c r="AS48"/>
      <c r="AT48"/>
      <c r="AU48"/>
      <c r="AV48"/>
      <c r="AW48"/>
      <c r="AX48"/>
      <c r="AY48"/>
      <c r="AZ48"/>
      <c r="BA48"/>
      <c r="BB48"/>
    </row>
    <row r="49" spans="1:28" hidden="1" x14ac:dyDescent="0.25">
      <c r="L49" s="80" t="s">
        <v>163</v>
      </c>
      <c r="M49" s="81"/>
      <c r="N49" s="81"/>
      <c r="O49" s="81"/>
      <c r="P49" s="81"/>
      <c r="Q49" s="82"/>
      <c r="R49" s="15">
        <f t="shared" ref="R49:Y49" si="31">IF(C22+C24-100&lt;0,C22+C24,100)</f>
        <v>0</v>
      </c>
      <c r="S49" s="15">
        <f t="shared" si="31"/>
        <v>0</v>
      </c>
      <c r="T49" s="15">
        <f t="shared" si="31"/>
        <v>0</v>
      </c>
      <c r="U49" s="15">
        <f t="shared" si="31"/>
        <v>0</v>
      </c>
      <c r="V49" s="15">
        <f t="shared" si="31"/>
        <v>0</v>
      </c>
      <c r="W49" s="15">
        <f t="shared" si="31"/>
        <v>0</v>
      </c>
      <c r="X49" s="15">
        <f t="shared" si="31"/>
        <v>0</v>
      </c>
      <c r="Y49" s="15">
        <f t="shared" si="31"/>
        <v>0</v>
      </c>
      <c r="Z49" s="15"/>
    </row>
    <row r="50" spans="1:28" x14ac:dyDescent="0.25">
      <c r="A50" s="26" t="s">
        <v>164</v>
      </c>
      <c r="B50" s="8">
        <f>C48+D48+E48+F48+G48+H48+I48+J48</f>
        <v>563</v>
      </c>
      <c r="L50" s="414" t="s">
        <v>165</v>
      </c>
      <c r="M50" s="415"/>
      <c r="N50" s="415"/>
      <c r="O50" s="415"/>
      <c r="P50" s="415"/>
      <c r="Q50" s="416"/>
      <c r="R50" s="15">
        <f>IF(C22+C25&lt;100,0,IF(C22+C25-1000&lt;0,((C22+C25-100)*0.2),180))</f>
        <v>0</v>
      </c>
      <c r="S50" s="15">
        <f t="shared" ref="S50:Y50" si="32">IF(D22+D25&lt;100,0,IF(D22+D25-1000&lt;0,((D22+D25-100)*0.2),180))</f>
        <v>0</v>
      </c>
      <c r="T50" s="15">
        <f t="shared" si="32"/>
        <v>0</v>
      </c>
      <c r="U50" s="15">
        <f t="shared" si="32"/>
        <v>0</v>
      </c>
      <c r="V50" s="15">
        <f t="shared" si="32"/>
        <v>0</v>
      </c>
      <c r="W50" s="15">
        <f t="shared" si="32"/>
        <v>0</v>
      </c>
      <c r="X50" s="15">
        <f t="shared" si="32"/>
        <v>0</v>
      </c>
      <c r="Y50" s="15">
        <f t="shared" si="32"/>
        <v>0</v>
      </c>
      <c r="Z50" s="15"/>
    </row>
    <row r="51" spans="1:28" x14ac:dyDescent="0.25">
      <c r="A51" s="1" t="s">
        <v>166</v>
      </c>
      <c r="C51" s="43">
        <f>C48/$B50</f>
        <v>1</v>
      </c>
      <c r="D51" s="43">
        <f t="shared" ref="D51:J51" si="33">D48/$B50</f>
        <v>0</v>
      </c>
      <c r="E51" s="43">
        <f t="shared" si="33"/>
        <v>0</v>
      </c>
      <c r="F51" s="43">
        <f t="shared" si="33"/>
        <v>0</v>
      </c>
      <c r="G51" s="43">
        <f t="shared" si="33"/>
        <v>0</v>
      </c>
      <c r="H51" s="43">
        <f t="shared" si="33"/>
        <v>0</v>
      </c>
      <c r="I51" s="43">
        <f t="shared" si="33"/>
        <v>0</v>
      </c>
      <c r="J51" s="43">
        <f t="shared" si="33"/>
        <v>0</v>
      </c>
      <c r="L51" s="417" t="s">
        <v>167</v>
      </c>
      <c r="M51" s="417"/>
      <c r="N51" s="417"/>
      <c r="O51" s="417"/>
      <c r="P51" s="417"/>
      <c r="Q51" s="417"/>
      <c r="R51" s="15">
        <f>IF(C22+C25&lt;1000,0,IF(C22+C25-1200&lt;0,((C22+C25-1000)*0.1),20))</f>
        <v>0</v>
      </c>
      <c r="S51" s="15">
        <f t="shared" ref="S51:Y51" si="34">IF(D22+D25&lt;1000,0,IF(D22+D25-1200&lt;0,((D22+D25-1000)*0.1),20))</f>
        <v>0</v>
      </c>
      <c r="T51" s="15">
        <f t="shared" si="34"/>
        <v>0</v>
      </c>
      <c r="U51" s="15">
        <f t="shared" si="34"/>
        <v>0</v>
      </c>
      <c r="V51" s="15">
        <f t="shared" si="34"/>
        <v>0</v>
      </c>
      <c r="W51" s="15">
        <f t="shared" si="34"/>
        <v>0</v>
      </c>
      <c r="X51" s="15">
        <f t="shared" si="34"/>
        <v>0</v>
      </c>
      <c r="Y51" s="15">
        <f t="shared" si="34"/>
        <v>0</v>
      </c>
      <c r="Z51" s="15">
        <f>IF(OR(K22&lt;1200,$L48=0),0,IF(K22-1500&lt;0,((K22-1200)*0.1),30))</f>
        <v>0</v>
      </c>
    </row>
    <row r="52" spans="1:28" ht="23.25" customHeight="1" x14ac:dyDescent="0.25">
      <c r="A52" s="85" t="s">
        <v>427</v>
      </c>
      <c r="C52" s="3">
        <f>C51*$C46</f>
        <v>0</v>
      </c>
      <c r="D52" s="3">
        <f t="shared" ref="D52:J52" si="35">D51*$C46</f>
        <v>0</v>
      </c>
      <c r="E52" s="3">
        <f t="shared" si="35"/>
        <v>0</v>
      </c>
      <c r="F52" s="3">
        <f t="shared" si="35"/>
        <v>0</v>
      </c>
      <c r="G52" s="3">
        <f t="shared" si="35"/>
        <v>0</v>
      </c>
      <c r="H52" s="3">
        <f t="shared" si="35"/>
        <v>0</v>
      </c>
      <c r="I52" s="3">
        <f t="shared" si="35"/>
        <v>0</v>
      </c>
      <c r="J52" s="3">
        <f t="shared" si="35"/>
        <v>0</v>
      </c>
      <c r="L52" s="417" t="s">
        <v>168</v>
      </c>
      <c r="M52" s="417"/>
      <c r="N52" s="417"/>
      <c r="O52" s="417"/>
      <c r="P52" s="417"/>
      <c r="Q52" s="417"/>
      <c r="R52" s="15">
        <f>IF(OR(C22+C25&lt;1200,$L48=0),0,IF(C22+C25-1500&lt;0,((C22+C25-1200)*0.1),30))</f>
        <v>0</v>
      </c>
      <c r="S52" s="15">
        <f t="shared" ref="S52:Y52" si="36">IF(OR(D22+D25&lt;1200,$L48=0),0,IF(D22+D25-1500&lt;0,((D22+D25-1200)*0.1),30))</f>
        <v>0</v>
      </c>
      <c r="T52" s="15">
        <f t="shared" si="36"/>
        <v>0</v>
      </c>
      <c r="U52" s="15">
        <f t="shared" si="36"/>
        <v>0</v>
      </c>
      <c r="V52" s="15">
        <f t="shared" si="36"/>
        <v>0</v>
      </c>
      <c r="W52" s="15">
        <f t="shared" si="36"/>
        <v>0</v>
      </c>
      <c r="X52" s="15">
        <f t="shared" si="36"/>
        <v>0</v>
      </c>
      <c r="Y52" s="15">
        <f t="shared" si="36"/>
        <v>0</v>
      </c>
    </row>
    <row r="53" spans="1:28" ht="18" customHeight="1" x14ac:dyDescent="0.3">
      <c r="A53" s="21" t="s">
        <v>169</v>
      </c>
      <c r="B53" s="58">
        <f>SUM(C53:J53)</f>
        <v>563</v>
      </c>
      <c r="C53" s="22">
        <f t="shared" ref="C53:J53" si="37">IF(C48-C52&gt;0,C48-C52,0)</f>
        <v>563</v>
      </c>
      <c r="D53" s="22">
        <f t="shared" si="37"/>
        <v>0</v>
      </c>
      <c r="E53" s="22">
        <f t="shared" si="37"/>
        <v>0</v>
      </c>
      <c r="F53" s="22">
        <f t="shared" si="37"/>
        <v>0</v>
      </c>
      <c r="G53" s="22">
        <f t="shared" si="37"/>
        <v>0</v>
      </c>
      <c r="H53" s="22">
        <f t="shared" si="37"/>
        <v>0</v>
      </c>
      <c r="I53" s="22">
        <f t="shared" si="37"/>
        <v>0</v>
      </c>
      <c r="J53" s="22">
        <f t="shared" si="37"/>
        <v>0</v>
      </c>
      <c r="Q53" t="s">
        <v>170</v>
      </c>
      <c r="R53" s="16">
        <f>SUM(R49:R52)+R57</f>
        <v>0</v>
      </c>
      <c r="S53" s="16">
        <f t="shared" ref="S53:Y53" si="38">SUM(S49:S52)+S57</f>
        <v>0</v>
      </c>
      <c r="T53" s="16">
        <f t="shared" si="38"/>
        <v>0</v>
      </c>
      <c r="U53" s="16">
        <f t="shared" si="38"/>
        <v>0</v>
      </c>
      <c r="V53" s="16">
        <f t="shared" si="38"/>
        <v>0</v>
      </c>
      <c r="W53" s="16">
        <f t="shared" si="38"/>
        <v>0</v>
      </c>
      <c r="X53" s="16">
        <f t="shared" si="38"/>
        <v>0</v>
      </c>
      <c r="Y53" s="16">
        <f t="shared" si="38"/>
        <v>0</v>
      </c>
    </row>
    <row r="54" spans="1:28" ht="14.25" hidden="1" customHeight="1" x14ac:dyDescent="0.25">
      <c r="A54" s="1" t="s">
        <v>171</v>
      </c>
      <c r="D54" s="2">
        <f>IF(D53&gt;0,20,0)</f>
        <v>0</v>
      </c>
      <c r="E54" s="2">
        <f t="shared" ref="E54:J54" si="39">IF(E53&gt;0,20,0)</f>
        <v>0</v>
      </c>
      <c r="F54" s="2">
        <f t="shared" si="39"/>
        <v>0</v>
      </c>
      <c r="G54" s="2">
        <f t="shared" si="39"/>
        <v>0</v>
      </c>
      <c r="H54" s="2">
        <f t="shared" si="39"/>
        <v>0</v>
      </c>
      <c r="I54" s="2">
        <f t="shared" si="39"/>
        <v>0</v>
      </c>
      <c r="J54" s="2">
        <f t="shared" si="39"/>
        <v>0</v>
      </c>
      <c r="Q54" s="2"/>
      <c r="R54" s="2"/>
      <c r="S54" s="2"/>
      <c r="T54" s="2"/>
      <c r="U54" s="2"/>
      <c r="V54" s="2"/>
      <c r="W54" s="2"/>
      <c r="X54" s="2"/>
      <c r="Y54" s="2"/>
    </row>
    <row r="55" spans="1:28" ht="27.95" hidden="1" customHeight="1" x14ac:dyDescent="0.25">
      <c r="A55" s="1" t="s">
        <v>172</v>
      </c>
      <c r="D55" s="2">
        <f>IF($B53&gt;0,IF(AND(D36&gt;0,D53=0),20,0),0)</f>
        <v>0</v>
      </c>
      <c r="E55" s="2">
        <f t="shared" ref="E55:J55" si="40">IF($B53&gt;0,IF(AND(E36&gt;0,E53=0),20,0),0)</f>
        <v>0</v>
      </c>
      <c r="F55" s="2">
        <f t="shared" si="40"/>
        <v>0</v>
      </c>
      <c r="G55" s="2">
        <f t="shared" si="40"/>
        <v>0</v>
      </c>
      <c r="H55" s="2">
        <f t="shared" si="40"/>
        <v>0</v>
      </c>
      <c r="I55" s="2">
        <f t="shared" si="40"/>
        <v>0</v>
      </c>
      <c r="J55" s="2">
        <f t="shared" si="40"/>
        <v>0</v>
      </c>
      <c r="R55" s="16"/>
      <c r="S55" s="16"/>
      <c r="T55" s="16"/>
      <c r="U55" s="16"/>
      <c r="V55" s="16"/>
      <c r="W55" s="16"/>
      <c r="X55" s="16"/>
      <c r="Y55" s="16"/>
    </row>
    <row r="56" spans="1:28" ht="19.5" hidden="1" customHeight="1" x14ac:dyDescent="0.25">
      <c r="A56" s="1" t="str">
        <f>IF(B1="ab 7/2022","Sofortzuschlag ab Juli 2022","")</f>
        <v/>
      </c>
      <c r="D56" s="2">
        <f>IF(OR($B1="ab 7/2022",$B1="bis 06/2023",$B1="ab 7/2023",$B1=2024),D54+D55,IF(AND(OR($B1=2025,$B1=2026),D54+D55&gt;0),D54+D55+5,0))</f>
        <v>0</v>
      </c>
      <c r="E56" s="2">
        <f t="shared" ref="E56:J56" si="41">IF(OR($B1="ab 7/2022",$B1="bis 06/2023",$B1="ab 7/2023",$B1=2024),E54+E55,IF(AND(OR($B1=2025,$B1=2026),E54+E55&gt;0),E54+E55+5,0))</f>
        <v>0</v>
      </c>
      <c r="F56" s="2">
        <f t="shared" si="41"/>
        <v>0</v>
      </c>
      <c r="G56" s="2">
        <f t="shared" si="41"/>
        <v>0</v>
      </c>
      <c r="H56" s="2">
        <f t="shared" si="41"/>
        <v>0</v>
      </c>
      <c r="I56" s="2">
        <f t="shared" si="41"/>
        <v>0</v>
      </c>
      <c r="J56" s="2">
        <f t="shared" si="41"/>
        <v>0</v>
      </c>
      <c r="Q56" t="s">
        <v>173</v>
      </c>
      <c r="R56" s="16">
        <f>R49+R50+R51+R57</f>
        <v>0</v>
      </c>
      <c r="S56" s="16">
        <f t="shared" ref="S56:Y56" si="42">S49+S50+S51+S57</f>
        <v>0</v>
      </c>
      <c r="T56" s="16">
        <f t="shared" si="42"/>
        <v>0</v>
      </c>
      <c r="U56" s="16">
        <f t="shared" si="42"/>
        <v>0</v>
      </c>
      <c r="V56" s="16">
        <f t="shared" si="42"/>
        <v>0</v>
      </c>
      <c r="W56" s="16">
        <f t="shared" si="42"/>
        <v>0</v>
      </c>
      <c r="X56" s="16">
        <f t="shared" si="42"/>
        <v>0</v>
      </c>
      <c r="Y56" s="16">
        <f t="shared" si="42"/>
        <v>0</v>
      </c>
    </row>
    <row r="57" spans="1:28" ht="30.6" customHeight="1" x14ac:dyDescent="0.3">
      <c r="A57" s="305" t="str">
        <f>IF(OR(B1="ab 7/2022",B1="bis 06/2023",B1="ab 7/2023",B1=2024,B1=2025,B1=2026),"Leistungsanspruch mit Kinder-Sofortzuschlag"," ")</f>
        <v>Leistungsanspruch mit Kinder-Sofortzuschlag</v>
      </c>
      <c r="B57" s="306">
        <f>SUM(C57:J57)</f>
        <v>563</v>
      </c>
      <c r="C57" s="297">
        <f>IF(OR($B1="ab 7/2022",$B1="bis 06/2023",$B1="ab 7/2023",$B1=2024,$B1=2025,$B1=2026),C53+C56," ")</f>
        <v>563</v>
      </c>
      <c r="D57" s="297">
        <f>IF(OR($B1="ab 7/2022",$B1="bis 06/2023",$B1="ab 7/2023",$B1=2024,$B1=2025,$B1=2026),D53+D56,0)</f>
        <v>0</v>
      </c>
      <c r="E57" s="297">
        <f>IF(OR($B1="ab 7/2022",$B1="bis 06/2023",$B1="ab 7/2023",$B1=2024,$B1=2025,$B1=2026),E53+E56,0)</f>
        <v>0</v>
      </c>
      <c r="F57" s="297">
        <f t="shared" ref="F57:J57" si="43">IF(OR($B1="ab 7/2022",$B1="bis 06/2023",$B1="ab 7/2023",$B1=2024,$B1=2025,$B1=2026),F53+F56,0)</f>
        <v>0</v>
      </c>
      <c r="G57" s="297">
        <f t="shared" si="43"/>
        <v>0</v>
      </c>
      <c r="H57" s="297">
        <f t="shared" si="43"/>
        <v>0</v>
      </c>
      <c r="I57" s="297">
        <f t="shared" si="43"/>
        <v>0</v>
      </c>
      <c r="J57" s="297">
        <f t="shared" si="43"/>
        <v>0</v>
      </c>
      <c r="L57" s="420" t="s">
        <v>174</v>
      </c>
      <c r="M57" s="420"/>
      <c r="N57" s="420"/>
      <c r="O57" s="420"/>
      <c r="P57" s="420"/>
      <c r="Q57" s="420"/>
      <c r="R57" s="13">
        <f t="shared" ref="R57:Y57" si="44">IF($W1=TRUE,IF(R50&gt;84,(R50-84)/2,0),0)</f>
        <v>0</v>
      </c>
      <c r="S57" s="13">
        <f t="shared" si="44"/>
        <v>0</v>
      </c>
      <c r="T57" s="13">
        <f t="shared" si="44"/>
        <v>0</v>
      </c>
      <c r="U57" s="13">
        <f t="shared" si="44"/>
        <v>0</v>
      </c>
      <c r="V57" s="13">
        <f t="shared" si="44"/>
        <v>0</v>
      </c>
      <c r="W57" s="13">
        <f t="shared" si="44"/>
        <v>0</v>
      </c>
      <c r="X57" s="13">
        <f t="shared" si="44"/>
        <v>0</v>
      </c>
      <c r="Y57" s="13">
        <f t="shared" si="44"/>
        <v>0</v>
      </c>
      <c r="Z57" s="13"/>
      <c r="AA57" s="22">
        <f>AA53+AA56</f>
        <v>0</v>
      </c>
      <c r="AB57" s="22">
        <f>AB53+AB56</f>
        <v>0</v>
      </c>
    </row>
    <row r="58" spans="1:28" s="88" customFormat="1" x14ac:dyDescent="0.25">
      <c r="A58" s="303"/>
      <c r="B58" s="88">
        <f>IF(B53&gt;B57,B53,B57)</f>
        <v>563</v>
      </c>
      <c r="K58" s="262"/>
      <c r="L58" s="262"/>
      <c r="M58" s="262"/>
      <c r="N58" s="419" t="s">
        <v>175</v>
      </c>
      <c r="O58" s="419"/>
      <c r="P58" s="419"/>
      <c r="Q58" s="419"/>
      <c r="R58" s="13">
        <f>IF(C22&lt;=$L61,C22,$L61)</f>
        <v>0</v>
      </c>
      <c r="S58" s="13">
        <f t="shared" ref="S58:Y58" si="45">IF(D22&lt;=$L61,D22,$L61)</f>
        <v>0</v>
      </c>
      <c r="T58" s="13">
        <f t="shared" si="45"/>
        <v>0</v>
      </c>
      <c r="U58" s="13">
        <f t="shared" si="45"/>
        <v>0</v>
      </c>
      <c r="V58" s="13">
        <f t="shared" si="45"/>
        <v>0</v>
      </c>
      <c r="W58" s="13">
        <f t="shared" si="45"/>
        <v>0</v>
      </c>
      <c r="X58" s="13">
        <f t="shared" si="45"/>
        <v>0</v>
      </c>
      <c r="Y58" s="13">
        <f t="shared" si="45"/>
        <v>0</v>
      </c>
      <c r="Z58" s="262"/>
    </row>
    <row r="59" spans="1:28" x14ac:dyDescent="0.25">
      <c r="A59" s="410" t="s">
        <v>176</v>
      </c>
      <c r="B59" s="410"/>
      <c r="C59" s="410"/>
      <c r="D59" s="410"/>
      <c r="E59" s="410"/>
      <c r="F59" s="410"/>
      <c r="G59" s="410"/>
      <c r="H59" s="157" t="s">
        <v>177</v>
      </c>
      <c r="I59" s="157" t="b">
        <v>0</v>
      </c>
      <c r="L59" t="s">
        <v>178</v>
      </c>
      <c r="R59" s="16">
        <f>IF($R1&gt;0,R57*3+R51+R52,R57*3+R51)</f>
        <v>0</v>
      </c>
      <c r="S59" s="16">
        <f>IF($U10&gt;0,S57*3+S51+S52,S57*3+S51)</f>
        <v>0</v>
      </c>
      <c r="T59" s="16">
        <f t="shared" ref="T59:Y59" si="46">IF($U10&gt;0,T57*3+T51+T52,T57*3+T51)</f>
        <v>0</v>
      </c>
      <c r="U59" s="16">
        <f t="shared" si="46"/>
        <v>0</v>
      </c>
      <c r="V59" s="16">
        <f t="shared" si="46"/>
        <v>0</v>
      </c>
      <c r="W59" s="16">
        <f t="shared" si="46"/>
        <v>0</v>
      </c>
      <c r="X59" s="16">
        <f t="shared" si="46"/>
        <v>0</v>
      </c>
      <c r="Y59" s="16">
        <f t="shared" si="46"/>
        <v>0</v>
      </c>
    </row>
    <row r="60" spans="1:28" s="88" customFormat="1" ht="15.75" x14ac:dyDescent="0.25">
      <c r="A60" s="408" t="s">
        <v>179</v>
      </c>
      <c r="B60" s="408"/>
      <c r="C60" s="408"/>
      <c r="D60" s="408"/>
      <c r="E60" s="408"/>
      <c r="F60" s="408"/>
      <c r="G60" s="408"/>
      <c r="H60" s="408"/>
      <c r="I60" s="408"/>
      <c r="J60" s="408"/>
      <c r="K60" s="262"/>
      <c r="L60" t="s">
        <v>100</v>
      </c>
      <c r="N60" t="s">
        <v>1</v>
      </c>
      <c r="O60">
        <v>2024</v>
      </c>
      <c r="P60" s="263"/>
      <c r="R60" s="264"/>
      <c r="S60" s="264"/>
      <c r="T60" s="264"/>
      <c r="U60" s="264"/>
      <c r="V60" s="264"/>
      <c r="W60" s="264"/>
      <c r="X60" s="264"/>
      <c r="Y60" s="264"/>
    </row>
    <row r="61" spans="1:28" s="257" customFormat="1" x14ac:dyDescent="0.25">
      <c r="A61" s="265"/>
      <c r="B61" s="265"/>
      <c r="C61" s="266" t="s">
        <v>180</v>
      </c>
      <c r="D61" s="265"/>
      <c r="E61" s="267"/>
      <c r="F61" s="267"/>
      <c r="K61" s="268"/>
      <c r="L61">
        <f>VLOOKUP(B1,N62:O65,2)</f>
        <v>603</v>
      </c>
      <c r="M61"/>
      <c r="N61">
        <v>520</v>
      </c>
      <c r="O61">
        <v>538</v>
      </c>
      <c r="P61" s="269"/>
    </row>
    <row r="62" spans="1:28" s="257" customFormat="1" ht="30" customHeight="1" x14ac:dyDescent="0.25">
      <c r="A62" s="270" t="s">
        <v>2</v>
      </c>
      <c r="B62" s="271">
        <f>B1</f>
        <v>2026</v>
      </c>
      <c r="C62" s="266" t="s">
        <v>2</v>
      </c>
      <c r="D62" s="272" t="str">
        <f t="shared" ref="D62:J62" si="47">D1</f>
        <v>Kind 1</v>
      </c>
      <c r="E62" s="272" t="str">
        <f t="shared" si="47"/>
        <v>Kind 2</v>
      </c>
      <c r="F62" s="272" t="str">
        <f t="shared" si="47"/>
        <v>Kind 3</v>
      </c>
      <c r="G62" s="272" t="str">
        <f t="shared" si="47"/>
        <v>Kind 4</v>
      </c>
      <c r="H62" s="272" t="str">
        <f t="shared" si="47"/>
        <v>Kind 5</v>
      </c>
      <c r="I62" s="272" t="str">
        <f t="shared" si="47"/>
        <v>Kind 6</v>
      </c>
      <c r="J62" s="272" t="str">
        <f t="shared" si="47"/>
        <v>Kind 7</v>
      </c>
      <c r="K62" s="268"/>
      <c r="N62" t="s">
        <v>1</v>
      </c>
      <c r="O62" s="39">
        <v>520</v>
      </c>
      <c r="P62" s="269"/>
    </row>
    <row r="63" spans="1:28" s="257" customFormat="1" ht="24.75" customHeight="1" x14ac:dyDescent="0.25">
      <c r="A63" s="273" t="s">
        <v>181</v>
      </c>
      <c r="C63" s="274">
        <f t="shared" ref="C63:J63" si="48">C11</f>
        <v>563</v>
      </c>
      <c r="D63" s="274">
        <f t="shared" si="48"/>
        <v>0</v>
      </c>
      <c r="E63" s="274">
        <f t="shared" si="48"/>
        <v>0</v>
      </c>
      <c r="F63" s="274">
        <f t="shared" si="48"/>
        <v>0</v>
      </c>
      <c r="G63" s="274">
        <f t="shared" si="48"/>
        <v>0</v>
      </c>
      <c r="H63" s="274">
        <f t="shared" si="48"/>
        <v>0</v>
      </c>
      <c r="I63" s="274">
        <f t="shared" si="48"/>
        <v>0</v>
      </c>
      <c r="J63" s="274">
        <f t="shared" si="48"/>
        <v>0</v>
      </c>
      <c r="K63" s="268"/>
      <c r="N63">
        <v>2024</v>
      </c>
      <c r="O63" s="39">
        <v>538</v>
      </c>
      <c r="P63" s="269"/>
    </row>
    <row r="64" spans="1:28" s="257" customFormat="1" x14ac:dyDescent="0.25">
      <c r="A64" s="273" t="s">
        <v>182</v>
      </c>
      <c r="C64" s="274">
        <f t="shared" ref="C64:J64" si="49">C47</f>
        <v>0</v>
      </c>
      <c r="D64" s="274">
        <f t="shared" si="49"/>
        <v>0</v>
      </c>
      <c r="E64" s="274">
        <f t="shared" si="49"/>
        <v>0</v>
      </c>
      <c r="F64" s="274">
        <f t="shared" si="49"/>
        <v>0</v>
      </c>
      <c r="G64" s="274">
        <f t="shared" si="49"/>
        <v>0</v>
      </c>
      <c r="H64" s="274">
        <f t="shared" si="49"/>
        <v>0</v>
      </c>
      <c r="I64" s="274">
        <f t="shared" si="49"/>
        <v>0</v>
      </c>
      <c r="J64" s="274">
        <f t="shared" si="49"/>
        <v>0</v>
      </c>
      <c r="K64" s="268"/>
      <c r="N64" s="39">
        <v>2025</v>
      </c>
      <c r="O64" s="39">
        <v>556</v>
      </c>
      <c r="P64" s="269"/>
      <c r="Z64" s="275"/>
    </row>
    <row r="65" spans="1:54" s="275" customFormat="1" x14ac:dyDescent="0.25">
      <c r="A65" s="276" t="s">
        <v>183</v>
      </c>
      <c r="B65" s="257"/>
      <c r="C65" s="267">
        <f>IF(C63-C64&lt;0,C64-C63,0)</f>
        <v>0</v>
      </c>
      <c r="D65" s="267"/>
      <c r="E65" s="267"/>
      <c r="F65" s="267"/>
      <c r="G65" s="257"/>
      <c r="H65" s="257"/>
      <c r="I65" s="257"/>
      <c r="J65" s="257"/>
      <c r="K65" s="277"/>
      <c r="L65" s="257"/>
      <c r="M65" s="257"/>
      <c r="N65" s="39">
        <v>2026</v>
      </c>
      <c r="O65" s="39">
        <v>603</v>
      </c>
      <c r="P65" s="269"/>
      <c r="Q65" s="257"/>
      <c r="R65" s="257"/>
      <c r="S65" s="257"/>
      <c r="T65" s="257"/>
      <c r="U65" s="257"/>
      <c r="V65" s="257"/>
      <c r="W65" s="257"/>
      <c r="X65" s="257"/>
      <c r="Y65" s="257"/>
      <c r="Z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row>
    <row r="66" spans="1:54" s="257" customFormat="1" ht="45" x14ac:dyDescent="0.25">
      <c r="A66" s="273" t="s">
        <v>184</v>
      </c>
      <c r="B66" s="274">
        <f>SUM(C66:J66)</f>
        <v>0</v>
      </c>
      <c r="C66" s="267">
        <v>0</v>
      </c>
      <c r="D66" s="267">
        <f t="shared" ref="D66:J66" si="50">D63-D64</f>
        <v>0</v>
      </c>
      <c r="E66" s="267">
        <f t="shared" si="50"/>
        <v>0</v>
      </c>
      <c r="F66" s="267">
        <f t="shared" si="50"/>
        <v>0</v>
      </c>
      <c r="G66" s="267">
        <f t="shared" si="50"/>
        <v>0</v>
      </c>
      <c r="H66" s="267">
        <f t="shared" si="50"/>
        <v>0</v>
      </c>
      <c r="I66" s="267">
        <f t="shared" si="50"/>
        <v>0</v>
      </c>
      <c r="J66" s="267">
        <f t="shared" si="50"/>
        <v>0</v>
      </c>
      <c r="K66" s="268"/>
      <c r="L66" s="275"/>
      <c r="M66" s="275"/>
      <c r="N66" s="390"/>
      <c r="O66" s="390"/>
      <c r="P66" s="278"/>
      <c r="Q66" s="275"/>
      <c r="R66" s="275"/>
      <c r="S66" s="275"/>
      <c r="T66" s="275"/>
      <c r="U66" s="275"/>
      <c r="V66" s="275"/>
      <c r="W66" s="275"/>
      <c r="X66" s="275"/>
      <c r="Y66" s="275"/>
    </row>
    <row r="67" spans="1:54" s="257" customFormat="1" x14ac:dyDescent="0.25">
      <c r="A67" s="273" t="s">
        <v>185</v>
      </c>
      <c r="D67" s="279">
        <f>IF($B66&gt;0,D66/$B66,0)</f>
        <v>0</v>
      </c>
      <c r="E67" s="279">
        <f t="shared" ref="E67:J67" si="51">IF($B66&gt;0,E66/$B66,0)</f>
        <v>0</v>
      </c>
      <c r="F67" s="279">
        <f t="shared" si="51"/>
        <v>0</v>
      </c>
      <c r="G67" s="279">
        <f t="shared" si="51"/>
        <v>0</v>
      </c>
      <c r="H67" s="279">
        <f t="shared" si="51"/>
        <v>0</v>
      </c>
      <c r="I67" s="279">
        <f t="shared" si="51"/>
        <v>0</v>
      </c>
      <c r="J67" s="279">
        <f t="shared" si="51"/>
        <v>0</v>
      </c>
      <c r="K67" s="268"/>
      <c r="P67" s="269"/>
    </row>
    <row r="68" spans="1:54" s="257" customFormat="1" ht="30" x14ac:dyDescent="0.25">
      <c r="A68" s="273" t="s">
        <v>186</v>
      </c>
      <c r="D68" s="267">
        <f t="shared" ref="D68:J68" si="52">D67*$C65</f>
        <v>0</v>
      </c>
      <c r="E68" s="267">
        <f t="shared" si="52"/>
        <v>0</v>
      </c>
      <c r="F68" s="267">
        <f t="shared" si="52"/>
        <v>0</v>
      </c>
      <c r="G68" s="267">
        <f t="shared" si="52"/>
        <v>0</v>
      </c>
      <c r="H68" s="267">
        <f t="shared" si="52"/>
        <v>0</v>
      </c>
      <c r="I68" s="267">
        <f t="shared" si="52"/>
        <v>0</v>
      </c>
      <c r="J68" s="267">
        <f t="shared" si="52"/>
        <v>0</v>
      </c>
      <c r="K68" s="268"/>
      <c r="P68" s="269"/>
    </row>
    <row r="69" spans="1:54" s="257" customFormat="1" ht="31.5" customHeight="1" x14ac:dyDescent="0.25">
      <c r="A69" s="280" t="s">
        <v>187</v>
      </c>
      <c r="B69" s="281">
        <f>C69+D69+E69</f>
        <v>0</v>
      </c>
      <c r="C69" s="282">
        <f>IF(AND(C65=0,C63-C64&gt;C6+C7),C6+C7,IF(C63-C64&gt;0,C63-C64,0))</f>
        <v>0</v>
      </c>
      <c r="D69" s="282">
        <f>IF(D68&gt;D66,0,D66-D68)</f>
        <v>0</v>
      </c>
      <c r="E69" s="282">
        <f t="shared" ref="E69:J69" si="53">IF(E68&gt;E66,0,E66-E68)</f>
        <v>0</v>
      </c>
      <c r="F69" s="282">
        <f t="shared" si="53"/>
        <v>0</v>
      </c>
      <c r="G69" s="282">
        <f t="shared" si="53"/>
        <v>0</v>
      </c>
      <c r="H69" s="282">
        <f t="shared" si="53"/>
        <v>0</v>
      </c>
      <c r="I69" s="282">
        <f t="shared" si="53"/>
        <v>0</v>
      </c>
      <c r="J69" s="282">
        <f t="shared" si="53"/>
        <v>0</v>
      </c>
      <c r="K69" s="268"/>
      <c r="P69" s="269"/>
    </row>
    <row r="70" spans="1:54" s="257" customFormat="1" ht="33.950000000000003" customHeight="1" x14ac:dyDescent="0.25">
      <c r="A70" s="409" t="s">
        <v>188</v>
      </c>
      <c r="B70" s="409"/>
      <c r="C70" s="409"/>
      <c r="D70" s="409"/>
      <c r="E70" s="409"/>
      <c r="F70" s="409"/>
      <c r="G70" s="409"/>
      <c r="H70" s="409"/>
      <c r="I70" s="409"/>
      <c r="J70" s="409"/>
      <c r="K70" s="268"/>
      <c r="P70" s="269"/>
    </row>
    <row r="72" spans="1:54" s="284" customFormat="1" ht="30" hidden="1" x14ac:dyDescent="0.25">
      <c r="A72" s="283" t="s">
        <v>281</v>
      </c>
      <c r="B72" s="284" t="s">
        <v>189</v>
      </c>
      <c r="C72" s="287">
        <f>D72+E72+F72+G72+H72+I72+J72</f>
        <v>0</v>
      </c>
      <c r="D72" s="287">
        <f t="shared" ref="D72:J72" si="54">IF(AND(D53&gt;0,D33=0),1,0)</f>
        <v>0</v>
      </c>
      <c r="E72" s="287">
        <f t="shared" si="54"/>
        <v>0</v>
      </c>
      <c r="F72" s="287">
        <f t="shared" si="54"/>
        <v>0</v>
      </c>
      <c r="G72" s="287">
        <f t="shared" si="54"/>
        <v>0</v>
      </c>
      <c r="H72" s="287">
        <f t="shared" si="54"/>
        <v>0</v>
      </c>
      <c r="I72" s="287">
        <f t="shared" si="54"/>
        <v>0</v>
      </c>
      <c r="J72" s="287">
        <f t="shared" si="54"/>
        <v>0</v>
      </c>
      <c r="K72" s="286"/>
      <c r="L72" s="286"/>
      <c r="M72" s="286"/>
      <c r="N72" s="286"/>
      <c r="O72" s="286"/>
      <c r="P72" s="286"/>
      <c r="Q72" s="286"/>
      <c r="R72" s="286"/>
      <c r="S72" s="286"/>
      <c r="T72" s="286"/>
      <c r="U72" s="286"/>
      <c r="V72" s="286"/>
      <c r="W72" s="286"/>
      <c r="X72" s="286"/>
      <c r="Y72" s="286"/>
      <c r="Z72" s="286"/>
      <c r="AA72" s="286"/>
      <c r="AB72" s="286"/>
    </row>
    <row r="73" spans="1:54" s="284" customFormat="1" ht="29.25" hidden="1" customHeight="1" x14ac:dyDescent="0.25">
      <c r="A73" s="283" t="s">
        <v>190</v>
      </c>
      <c r="D73" s="285">
        <f>D47</f>
        <v>0</v>
      </c>
      <c r="E73" s="285">
        <f>E47</f>
        <v>0</v>
      </c>
      <c r="F73" s="285">
        <f>F47</f>
        <v>0</v>
      </c>
      <c r="G73" s="285">
        <f>G26+G30+G31+G37+G38+G39+G41-G42-G43-G44-G27</f>
        <v>0</v>
      </c>
      <c r="H73" s="285">
        <f>H26+H30+H31+H37+H38+H39+H41-H42-H43-H44-H27</f>
        <v>0</v>
      </c>
      <c r="I73" s="285">
        <f>I26+I30+I31+I37+I38+I39+I41-I42-I43-I44-I27</f>
        <v>0</v>
      </c>
      <c r="J73" s="285">
        <f>J26+J30+J31+J37+J38+J39+J41-J42-J43-J44-J27</f>
        <v>0</v>
      </c>
      <c r="K73" s="286"/>
      <c r="L73" s="286"/>
      <c r="M73" s="286"/>
      <c r="N73" s="286"/>
      <c r="O73" s="286"/>
      <c r="P73" s="286"/>
      <c r="Q73" s="286"/>
      <c r="R73" s="286"/>
      <c r="S73" s="286"/>
      <c r="T73" s="286"/>
      <c r="U73" s="286"/>
      <c r="V73" s="286"/>
      <c r="W73" s="286"/>
      <c r="X73" s="286"/>
      <c r="Y73" s="286"/>
      <c r="Z73" s="286"/>
      <c r="AA73" s="286"/>
      <c r="AB73" s="286"/>
    </row>
    <row r="74" spans="1:54" s="284" customFormat="1" ht="30" hidden="1" x14ac:dyDescent="0.25">
      <c r="A74" s="283" t="s">
        <v>191</v>
      </c>
      <c r="D74" s="285">
        <f t="shared" ref="D74:J74" si="55">IF(D73-D36&gt;0,D73-D36,0)</f>
        <v>0</v>
      </c>
      <c r="E74" s="285">
        <f t="shared" si="55"/>
        <v>0</v>
      </c>
      <c r="F74" s="285">
        <f t="shared" si="55"/>
        <v>0</v>
      </c>
      <c r="G74" s="285">
        <f t="shared" si="55"/>
        <v>0</v>
      </c>
      <c r="H74" s="285">
        <f t="shared" si="55"/>
        <v>0</v>
      </c>
      <c r="I74" s="285">
        <f t="shared" si="55"/>
        <v>0</v>
      </c>
      <c r="J74" s="285">
        <f t="shared" si="55"/>
        <v>0</v>
      </c>
      <c r="K74" s="286"/>
      <c r="L74" s="286"/>
      <c r="M74" s="286"/>
      <c r="N74" s="286"/>
      <c r="O74" s="286"/>
      <c r="P74" s="286"/>
      <c r="Q74" s="286"/>
      <c r="R74" s="286"/>
      <c r="S74" s="286"/>
      <c r="T74" s="286"/>
      <c r="U74" s="286"/>
      <c r="V74" s="286"/>
      <c r="W74" s="286"/>
      <c r="X74" s="286"/>
      <c r="Y74" s="286"/>
      <c r="Z74" s="286"/>
      <c r="AA74" s="286"/>
      <c r="AB74" s="286"/>
    </row>
    <row r="75" spans="1:54" s="284" customFormat="1" ht="45" hidden="1" x14ac:dyDescent="0.25">
      <c r="A75" s="283" t="s">
        <v>192</v>
      </c>
      <c r="D75" s="285">
        <f t="shared" ref="D75:J75" si="56">IF(D2&gt;17,IF(D42-D74&gt;0,D42-D74,0),0)</f>
        <v>0</v>
      </c>
      <c r="E75" s="285">
        <f t="shared" si="56"/>
        <v>0</v>
      </c>
      <c r="F75" s="285">
        <f t="shared" si="56"/>
        <v>0</v>
      </c>
      <c r="G75" s="285">
        <f t="shared" si="56"/>
        <v>0</v>
      </c>
      <c r="H75" s="285">
        <f t="shared" si="56"/>
        <v>0</v>
      </c>
      <c r="I75" s="285">
        <f t="shared" si="56"/>
        <v>0</v>
      </c>
      <c r="J75" s="285">
        <f t="shared" si="56"/>
        <v>0</v>
      </c>
      <c r="K75" s="286"/>
      <c r="L75" s="286"/>
      <c r="M75" s="286"/>
      <c r="N75" s="286"/>
      <c r="O75" s="286"/>
      <c r="P75" s="286"/>
      <c r="Q75" s="286"/>
      <c r="R75" s="286"/>
      <c r="S75" s="286"/>
      <c r="T75" s="286"/>
      <c r="U75" s="286"/>
      <c r="V75" s="286"/>
      <c r="W75" s="286"/>
      <c r="X75" s="286"/>
      <c r="Y75" s="286"/>
      <c r="Z75" s="286"/>
      <c r="AA75" s="286"/>
      <c r="AB75" s="286"/>
    </row>
    <row r="76" spans="1:54" s="284" customFormat="1" ht="30" hidden="1" x14ac:dyDescent="0.25">
      <c r="A76" s="283" t="s">
        <v>193</v>
      </c>
      <c r="D76" s="285">
        <f t="shared" ref="D76:J76" si="57">D31+D37+D38+D39+D40+D41</f>
        <v>0</v>
      </c>
      <c r="E76" s="285">
        <f t="shared" si="57"/>
        <v>0</v>
      </c>
      <c r="F76" s="285">
        <f t="shared" si="57"/>
        <v>0</v>
      </c>
      <c r="G76" s="285">
        <f t="shared" si="57"/>
        <v>0</v>
      </c>
      <c r="H76" s="285">
        <f t="shared" si="57"/>
        <v>0</v>
      </c>
      <c r="I76" s="285">
        <f t="shared" si="57"/>
        <v>0</v>
      </c>
      <c r="J76" s="285">
        <f t="shared" si="57"/>
        <v>0</v>
      </c>
      <c r="K76" s="286"/>
      <c r="L76" s="286"/>
      <c r="M76" s="286"/>
      <c r="N76" s="286"/>
      <c r="O76" s="286"/>
      <c r="P76" s="286"/>
      <c r="Q76" s="286"/>
      <c r="R76" s="286"/>
      <c r="S76" s="286"/>
      <c r="T76" s="286"/>
      <c r="U76" s="286"/>
      <c r="V76" s="286"/>
      <c r="W76" s="286"/>
      <c r="X76" s="286"/>
      <c r="Y76" s="286"/>
      <c r="Z76" s="286"/>
      <c r="AA76" s="286"/>
      <c r="AB76" s="286"/>
    </row>
    <row r="77" spans="1:54" s="284" customFormat="1" ht="21.75" hidden="1" customHeight="1" x14ac:dyDescent="0.25">
      <c r="A77" s="283" t="s">
        <v>194</v>
      </c>
      <c r="D77" s="285">
        <f t="shared" ref="D77:J77" si="58">IF(D76&gt;=D75,D75,D76)</f>
        <v>0</v>
      </c>
      <c r="E77" s="285">
        <f t="shared" si="58"/>
        <v>0</v>
      </c>
      <c r="F77" s="285">
        <f t="shared" si="58"/>
        <v>0</v>
      </c>
      <c r="G77" s="285">
        <f t="shared" si="58"/>
        <v>0</v>
      </c>
      <c r="H77" s="285">
        <f t="shared" si="58"/>
        <v>0</v>
      </c>
      <c r="I77" s="285">
        <f t="shared" si="58"/>
        <v>0</v>
      </c>
      <c r="J77" s="285">
        <f t="shared" si="58"/>
        <v>0</v>
      </c>
      <c r="K77" s="286"/>
      <c r="L77" s="286"/>
      <c r="M77" s="286"/>
      <c r="N77" s="286"/>
      <c r="O77" s="286"/>
      <c r="P77" s="286"/>
      <c r="Q77" s="286"/>
      <c r="R77" s="286"/>
      <c r="S77" s="286"/>
      <c r="T77" s="286"/>
      <c r="U77" s="286"/>
      <c r="V77" s="286"/>
      <c r="W77" s="286"/>
      <c r="X77" s="286"/>
      <c r="Y77" s="286"/>
      <c r="Z77" s="286"/>
      <c r="AA77" s="286"/>
      <c r="AB77" s="286"/>
    </row>
    <row r="78" spans="1:54" s="284" customFormat="1" ht="27.75" hidden="1" customHeight="1" x14ac:dyDescent="0.25">
      <c r="A78" s="283" t="s">
        <v>195</v>
      </c>
      <c r="D78" s="285">
        <f t="shared" ref="D78:J78" si="59">D75-D77</f>
        <v>0</v>
      </c>
      <c r="E78" s="285">
        <f t="shared" si="59"/>
        <v>0</v>
      </c>
      <c r="F78" s="285">
        <f t="shared" si="59"/>
        <v>0</v>
      </c>
      <c r="G78" s="285">
        <f t="shared" si="59"/>
        <v>0</v>
      </c>
      <c r="H78" s="285">
        <f t="shared" si="59"/>
        <v>0</v>
      </c>
      <c r="I78" s="285">
        <f t="shared" si="59"/>
        <v>0</v>
      </c>
      <c r="J78" s="285">
        <f t="shared" si="59"/>
        <v>0</v>
      </c>
      <c r="K78" s="286"/>
      <c r="L78" s="286"/>
      <c r="M78" s="286"/>
      <c r="N78" s="286"/>
      <c r="O78" s="286"/>
      <c r="P78" s="286"/>
      <c r="Q78" s="286"/>
      <c r="R78" s="286"/>
      <c r="S78" s="286"/>
      <c r="T78" s="286"/>
      <c r="U78" s="286"/>
      <c r="V78" s="286"/>
      <c r="W78" s="286"/>
      <c r="X78" s="286"/>
      <c r="Y78" s="286"/>
      <c r="Z78" s="286"/>
      <c r="AA78" s="286"/>
      <c r="AB78" s="286"/>
    </row>
    <row r="79" spans="1:54" s="284" customFormat="1" ht="30" hidden="1" x14ac:dyDescent="0.25">
      <c r="A79" s="283" t="s">
        <v>196</v>
      </c>
      <c r="B79" s="288">
        <f>SUM(D79:J79)</f>
        <v>0</v>
      </c>
      <c r="D79" s="285">
        <f t="shared" ref="D79:J79" si="60">IF(D33-D78&gt;0,D33-D78,0)</f>
        <v>0</v>
      </c>
      <c r="E79" s="285">
        <f t="shared" si="60"/>
        <v>0</v>
      </c>
      <c r="F79" s="285">
        <f t="shared" si="60"/>
        <v>0</v>
      </c>
      <c r="G79" s="285">
        <f t="shared" si="60"/>
        <v>0</v>
      </c>
      <c r="H79" s="285">
        <f t="shared" si="60"/>
        <v>0</v>
      </c>
      <c r="I79" s="285">
        <f t="shared" si="60"/>
        <v>0</v>
      </c>
      <c r="J79" s="285">
        <f t="shared" si="60"/>
        <v>0</v>
      </c>
      <c r="K79" s="286"/>
      <c r="P79" s="285"/>
    </row>
    <row r="80" spans="1:54" ht="24.75" hidden="1" x14ac:dyDescent="0.25">
      <c r="A80" s="96" t="s">
        <v>438</v>
      </c>
      <c r="B80" s="3">
        <f>D80+E80+F80+G80+H80+I80+J80</f>
        <v>0</v>
      </c>
      <c r="D80" s="2">
        <f t="shared" ref="D80:J80" si="61">IF(D33&gt;0,D42,0)</f>
        <v>0</v>
      </c>
      <c r="E80" s="2">
        <f t="shared" si="61"/>
        <v>0</v>
      </c>
      <c r="F80" s="2">
        <f t="shared" si="61"/>
        <v>0</v>
      </c>
      <c r="G80" s="2">
        <f t="shared" si="61"/>
        <v>0</v>
      </c>
      <c r="H80" s="2">
        <f t="shared" si="61"/>
        <v>0</v>
      </c>
      <c r="I80" s="2">
        <f t="shared" si="61"/>
        <v>0</v>
      </c>
      <c r="J80" s="2">
        <f t="shared" si="61"/>
        <v>0</v>
      </c>
    </row>
  </sheetData>
  <sheetProtection algorithmName="SHA-512" hashValue="dLLM7MNlk52yKs5Ob8IZ7gmeEYmx/AKYnlqbfLHPhBjswyYoVj5OwCvLtdzTlytczloHOeCBFRhmnM2UtCLb4g==" saltValue="XoI//fBUzVkH/nTx87qdfQ==" spinCount="100000" sheet="1" selectLockedCells="1"/>
  <mergeCells count="11">
    <mergeCell ref="A60:J60"/>
    <mergeCell ref="A70:J70"/>
    <mergeCell ref="A59:G59"/>
    <mergeCell ref="AC4:AF4"/>
    <mergeCell ref="L50:Q50"/>
    <mergeCell ref="L51:Q51"/>
    <mergeCell ref="L52:Q52"/>
    <mergeCell ref="K30:M30"/>
    <mergeCell ref="N58:Q58"/>
    <mergeCell ref="L57:Q57"/>
    <mergeCell ref="T21:AA21"/>
  </mergeCells>
  <phoneticPr fontId="6" type="noConversion"/>
  <conditionalFormatting sqref="A24:A25">
    <cfRule type="expression" dxfId="13" priority="2">
      <formula>OR($B$1="ab 7/2023",B1=2024,B1=2025)</formula>
    </cfRule>
  </conditionalFormatting>
  <conditionalFormatting sqref="A57:J57">
    <cfRule type="expression" dxfId="12" priority="3">
      <formula>$B$53&gt;=$B$57</formula>
    </cfRule>
  </conditionalFormatting>
  <conditionalFormatting sqref="A60:J70">
    <cfRule type="expression" dxfId="11" priority="6">
      <formula>$I$59=TRUE</formula>
    </cfRule>
  </conditionalFormatting>
  <conditionalFormatting sqref="A71:J71">
    <cfRule type="expression" dxfId="10" priority="12">
      <formula>$B$59=1</formula>
    </cfRule>
  </conditionalFormatting>
  <conditionalFormatting sqref="C24:J25">
    <cfRule type="expression" dxfId="9" priority="1">
      <formula>OR($B$1="ab 7/2023",$B1=2024)</formula>
    </cfRule>
  </conditionalFormatting>
  <dataValidations xWindow="1778" yWindow="667" count="4">
    <dataValidation allowBlank="1" showInputMessage="1" showErrorMessage="1" promptTitle="Grün" prompt="Eingabe nur in grüne Felder möglich !" sqref="O35 B7 C5:J5 B6:J6 C8:J10 BF30:XFD30 A44:B45 U42:XFD42 A42 A2:A39 B20:B43 P22:P25 B58:J58 T20:AJ20 B50:AB55 AK20:XFD21 C20:N21 AD30:AE32 C63:J69 P26:AB28 C26:N28 O33 C30:AA30 AJ23:AJ32 C42:S42 AC67:BB74 B4:Q4 BC61:XFD74 BC50:XFD55 AK26:XFD28 E61:J61 A63:A72 H59:J59 B63:B68 B71:J72 A58:A61 O21:O29 A50:A52 T21 N64:N78 P20:S21 AF23:AH32 AD31:AJ32 AI29:AI32 K61:M78 O61:AB78 N61 O39" xr:uid="{00000000-0002-0000-0100-000000000000}"/>
    <dataValidation type="list" allowBlank="1" showInputMessage="1" showErrorMessage="1" sqref="B62" xr:uid="{00000000-0002-0000-0100-000001000000}">
      <formula1>$R$5:$R$11</formula1>
    </dataValidation>
    <dataValidation type="list" allowBlank="1" showInputMessage="1" showErrorMessage="1" sqref="B1" xr:uid="{00000000-0002-0000-0100-000002000000}">
      <formula1>$R$4:$R$11</formula1>
    </dataValidation>
    <dataValidation type="whole" allowBlank="1" showInputMessage="1" showErrorMessage="1" sqref="D2:J2" xr:uid="{00000000-0002-0000-0100-000003000000}">
      <formula1>1</formula1>
      <formula2>24</formula2>
    </dataValidation>
  </dataValidations>
  <pageMargins left="0.7" right="0.7" top="0.78740157499999996" bottom="0.78740157499999996" header="0.3" footer="0.3"/>
  <pageSetup paperSize="9" orientation="portrait" r:id="rId1"/>
  <ignoredErrors>
    <ignoredError sqref="D68:D69 E68:E69 F68:G69 H68:H69 I68:I69 J68:J6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xdr:col>
                    <xdr:colOff>257175</xdr:colOff>
                    <xdr:row>4</xdr:row>
                    <xdr:rowOff>0</xdr:rowOff>
                  </from>
                  <to>
                    <xdr:col>1</xdr:col>
                    <xdr:colOff>447675</xdr:colOff>
                    <xdr:row>5</xdr:row>
                    <xdr:rowOff>38100</xdr:rowOff>
                  </to>
                </anchor>
              </controlPr>
            </control>
          </mc:Choice>
        </mc:AlternateContent>
        <mc:AlternateContent xmlns:mc="http://schemas.openxmlformats.org/markup-compatibility/2006">
          <mc:Choice Requires="x14">
            <control shapeId="9219" r:id="rId5" name="Check Box 3">
              <controlPr locked="0" defaultSize="0" autoFill="0" autoLine="0" autoPict="0">
                <anchor moveWithCells="1">
                  <from>
                    <xdr:col>1</xdr:col>
                    <xdr:colOff>695325</xdr:colOff>
                    <xdr:row>1</xdr:row>
                    <xdr:rowOff>47625</xdr:rowOff>
                  </from>
                  <to>
                    <xdr:col>1</xdr:col>
                    <xdr:colOff>885825</xdr:colOff>
                    <xdr:row>1</xdr:row>
                    <xdr:rowOff>228600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7</xdr:col>
                    <xdr:colOff>257175</xdr:colOff>
                    <xdr:row>58</xdr:row>
                    <xdr:rowOff>28575</xdr:rowOff>
                  </from>
                  <to>
                    <xdr:col>7</xdr:col>
                    <xdr:colOff>561975</xdr:colOff>
                    <xdr:row>59</xdr:row>
                    <xdr:rowOff>47625</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3</xdr:col>
                    <xdr:colOff>400050</xdr:colOff>
                    <xdr:row>2</xdr:row>
                    <xdr:rowOff>76200</xdr:rowOff>
                  </from>
                  <to>
                    <xdr:col>3</xdr:col>
                    <xdr:colOff>600075</xdr:colOff>
                    <xdr:row>2</xdr:row>
                    <xdr:rowOff>342900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4</xdr:col>
                    <xdr:colOff>428625</xdr:colOff>
                    <xdr:row>2</xdr:row>
                    <xdr:rowOff>28575</xdr:rowOff>
                  </from>
                  <to>
                    <xdr:col>4</xdr:col>
                    <xdr:colOff>742950</xdr:colOff>
                    <xdr:row>2</xdr:row>
                    <xdr:rowOff>390525</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5</xdr:col>
                    <xdr:colOff>400050</xdr:colOff>
                    <xdr:row>2</xdr:row>
                    <xdr:rowOff>85725</xdr:rowOff>
                  </from>
                  <to>
                    <xdr:col>5</xdr:col>
                    <xdr:colOff>609600</xdr:colOff>
                    <xdr:row>2</xdr:row>
                    <xdr:rowOff>323850</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7</xdr:col>
                    <xdr:colOff>285750</xdr:colOff>
                    <xdr:row>2</xdr:row>
                    <xdr:rowOff>66675</xdr:rowOff>
                  </from>
                  <to>
                    <xdr:col>7</xdr:col>
                    <xdr:colOff>504825</xdr:colOff>
                    <xdr:row>2</xdr:row>
                    <xdr:rowOff>352425</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8</xdr:col>
                    <xdr:colOff>361950</xdr:colOff>
                    <xdr:row>2</xdr:row>
                    <xdr:rowOff>104775</xdr:rowOff>
                  </from>
                  <to>
                    <xdr:col>8</xdr:col>
                    <xdr:colOff>571500</xdr:colOff>
                    <xdr:row>2</xdr:row>
                    <xdr:rowOff>314325</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9</xdr:col>
                    <xdr:colOff>304800</xdr:colOff>
                    <xdr:row>2</xdr:row>
                    <xdr:rowOff>104775</xdr:rowOff>
                  </from>
                  <to>
                    <xdr:col>9</xdr:col>
                    <xdr:colOff>523875</xdr:colOff>
                    <xdr:row>2</xdr:row>
                    <xdr:rowOff>295275</xdr:rowOff>
                  </to>
                </anchor>
              </controlPr>
            </control>
          </mc:Choice>
        </mc:AlternateContent>
        <mc:AlternateContent xmlns:mc="http://schemas.openxmlformats.org/markup-compatibility/2006">
          <mc:Choice Requires="x14">
            <control shapeId="9236" r:id="rId13" name="Check Box 20">
              <controlPr defaultSize="0" autoFill="0" autoLine="0" autoPict="0">
                <anchor moveWithCells="1">
                  <from>
                    <xdr:col>6</xdr:col>
                    <xdr:colOff>352425</xdr:colOff>
                    <xdr:row>2</xdr:row>
                    <xdr:rowOff>76200</xdr:rowOff>
                  </from>
                  <to>
                    <xdr:col>6</xdr:col>
                    <xdr:colOff>590550</xdr:colOff>
                    <xdr:row>2</xdr:row>
                    <xdr:rowOff>295275</xdr:rowOff>
                  </to>
                </anchor>
              </controlPr>
            </control>
          </mc:Choice>
        </mc:AlternateContent>
        <mc:AlternateContent xmlns:mc="http://schemas.openxmlformats.org/markup-compatibility/2006">
          <mc:Choice Requires="x14">
            <control shapeId="9238" r:id="rId14" name="Check Box 22">
              <controlPr defaultSize="0" autoFill="0" autoLine="0" autoPict="0">
                <anchor moveWithCells="1">
                  <from>
                    <xdr:col>2</xdr:col>
                    <xdr:colOff>409575</xdr:colOff>
                    <xdr:row>2</xdr:row>
                    <xdr:rowOff>66675</xdr:rowOff>
                  </from>
                  <to>
                    <xdr:col>2</xdr:col>
                    <xdr:colOff>590550</xdr:colOff>
                    <xdr:row>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2"/>
  <dimension ref="A1:AD114"/>
  <sheetViews>
    <sheetView zoomScale="160" zoomScaleNormal="160" zoomScaleSheetLayoutView="94" workbookViewId="0">
      <selection activeCell="E62" sqref="E62"/>
    </sheetView>
    <sheetView topLeftCell="A13" zoomScale="250" zoomScaleNormal="250" workbookViewId="1"/>
  </sheetViews>
  <sheetFormatPr baseColWidth="10" defaultColWidth="11.42578125" defaultRowHeight="15" x14ac:dyDescent="0.25"/>
  <cols>
    <col min="1" max="1" width="45.85546875" style="1" customWidth="1"/>
    <col min="2" max="2" width="15" bestFit="1" customWidth="1"/>
    <col min="3" max="4" width="14.5703125" customWidth="1"/>
    <col min="5" max="5" width="16.5703125" style="2" customWidth="1"/>
    <col min="6" max="6" width="17.42578125" style="2" customWidth="1"/>
    <col min="7" max="7" width="16.42578125" style="2" customWidth="1"/>
    <col min="8" max="8" width="14.140625" customWidth="1"/>
    <col min="9" max="9" width="17" customWidth="1"/>
    <col min="10" max="10" width="16.140625" hidden="1" customWidth="1"/>
    <col min="11" max="11" width="13.5703125" hidden="1" customWidth="1"/>
    <col min="12" max="12" width="10.85546875" style="13" hidden="1" customWidth="1"/>
    <col min="13" max="13" width="10.85546875" hidden="1" customWidth="1"/>
    <col min="14" max="14" width="11.42578125" hidden="1" customWidth="1"/>
    <col min="15" max="15" width="10.85546875" hidden="1" customWidth="1"/>
    <col min="16" max="16" width="11.5703125" hidden="1" customWidth="1"/>
    <col min="17" max="17" width="11.5703125" style="2" hidden="1" customWidth="1"/>
    <col min="18" max="18" width="11.42578125" hidden="1" customWidth="1"/>
    <col min="19" max="21" width="11.5703125" hidden="1" customWidth="1"/>
    <col min="22" max="22" width="10.85546875" hidden="1" customWidth="1"/>
    <col min="23" max="23" width="13.42578125" hidden="1" customWidth="1"/>
    <col min="24" max="26" width="10.85546875" hidden="1" customWidth="1"/>
    <col min="27" max="27" width="10.85546875" customWidth="1"/>
    <col min="28" max="30" width="11.42578125" customWidth="1"/>
  </cols>
  <sheetData>
    <row r="1" spans="1:17" ht="18.75" x14ac:dyDescent="0.3">
      <c r="A1" s="150" t="s">
        <v>197</v>
      </c>
      <c r="B1" s="375">
        <f>'SGB II Paare m. und o. Kinder'!B1</f>
        <v>2026</v>
      </c>
      <c r="J1" t="s">
        <v>198</v>
      </c>
      <c r="K1">
        <v>2021</v>
      </c>
      <c r="N1">
        <v>2022</v>
      </c>
      <c r="O1">
        <v>209</v>
      </c>
    </row>
    <row r="2" spans="1:17" x14ac:dyDescent="0.25">
      <c r="A2" s="92" t="s">
        <v>199</v>
      </c>
      <c r="B2" s="59"/>
      <c r="C2" s="59"/>
      <c r="D2" s="59"/>
      <c r="E2" s="59"/>
      <c r="F2" s="59"/>
      <c r="G2" s="59"/>
      <c r="H2" s="59"/>
      <c r="K2">
        <v>2022</v>
      </c>
      <c r="L2">
        <f>(IF(B1=2020,185,(IF(B1=2021,205,209))))</f>
        <v>209</v>
      </c>
      <c r="N2" t="s">
        <v>5</v>
      </c>
      <c r="O2">
        <v>229</v>
      </c>
      <c r="Q2"/>
    </row>
    <row r="3" spans="1:17" x14ac:dyDescent="0.25">
      <c r="A3" t="s">
        <v>200</v>
      </c>
      <c r="B3" s="4">
        <f>'SGB II Paare m. und o. Kinder'!V43</f>
        <v>0</v>
      </c>
      <c r="C3" s="291" t="str">
        <f>'SGB II Paare m. und o. Kinder'!E1</f>
        <v>Kind 1</v>
      </c>
      <c r="D3" s="291" t="str">
        <f>'SGB II Paare m. und o. Kinder'!F1</f>
        <v>Kind 2</v>
      </c>
      <c r="E3" s="291" t="str">
        <f>'SGB II Paare m. und o. Kinder'!G1</f>
        <v>Kind 3</v>
      </c>
      <c r="F3" s="291" t="str">
        <f>'SGB II Paare m. und o. Kinder'!H1</f>
        <v>Kind 4</v>
      </c>
      <c r="G3" s="291" t="str">
        <f>'SGB II Paare m. und o. Kinder'!I1</f>
        <v>Kind 5</v>
      </c>
      <c r="H3" s="291" t="str">
        <f>'SGB II Paare m. und o. Kinder'!J1</f>
        <v>Kind 6</v>
      </c>
      <c r="I3" s="291" t="str">
        <f>'SGB II Paare m. und o. Kinder'!K1</f>
        <v>Kind 7</v>
      </c>
      <c r="K3" t="s">
        <v>201</v>
      </c>
      <c r="L3">
        <f>VLOOKUP(B1,N1:O7,2)</f>
        <v>297</v>
      </c>
      <c r="N3">
        <v>2023</v>
      </c>
      <c r="O3">
        <v>250</v>
      </c>
      <c r="Q3"/>
    </row>
    <row r="4" spans="1:17" hidden="1" x14ac:dyDescent="0.25">
      <c r="A4" t="s">
        <v>202</v>
      </c>
      <c r="B4" s="4">
        <f>M25</f>
        <v>0</v>
      </c>
      <c r="C4" t="b">
        <f>IF('SGB II Paare m. und o. Kinder'!E38&gt;0,TRUE,FALSE)</f>
        <v>0</v>
      </c>
      <c r="D4" t="b">
        <f>IF('SGB II Paare m. und o. Kinder'!F38&gt;0,TRUE,FALSE)</f>
        <v>0</v>
      </c>
      <c r="E4" t="b">
        <f>IF('SGB II Paare m. und o. Kinder'!G38&gt;0,TRUE,FALSE)</f>
        <v>0</v>
      </c>
      <c r="F4" t="b">
        <f>IF('SGB II Paare m. und o. Kinder'!H38&gt;0,TRUE,FALSE)</f>
        <v>0</v>
      </c>
      <c r="G4" t="b">
        <f>IF('SGB II Paare m. und o. Kinder'!I38&gt;0,TRUE,FALSE)</f>
        <v>0</v>
      </c>
      <c r="H4" t="b">
        <f>IF('SGB II Paare m. und o. Kinder'!J38&gt;0,TRUE,FALSE)</f>
        <v>0</v>
      </c>
      <c r="I4" t="b">
        <f>IF('SGB II Paare m. und o. Kinder'!K38&gt;0,TRUE,FALSE)</f>
        <v>0</v>
      </c>
      <c r="L4"/>
      <c r="N4" t="s">
        <v>1</v>
      </c>
      <c r="O4">
        <v>250</v>
      </c>
      <c r="Q4"/>
    </row>
    <row r="5" spans="1:17" hidden="1" x14ac:dyDescent="0.25">
      <c r="A5" t="s">
        <v>10</v>
      </c>
      <c r="C5" s="3">
        <f>IF(C4=TRUE,$L$3-0.45*('SGB II Paare m. und o. Kinder'!E36+'SGB II Paare m. und o. Kinder'!E37+'SGB II Paare m. und o. Kinder'!E42+'SGB II Paare m. und o. Kinder'!E43+'SGB II Paare m. und o. Kinder'!E44+'SGB II Paare m. und o. Kinder'!E45+'SGB II Paare m. und o. Kinder'!E46-'SGB II Paare m. und o. Kinder'!E47-'SGB II Paare m. und o. Kinder'!E48),0)</f>
        <v>0</v>
      </c>
      <c r="D5" s="3">
        <f>IF(D4=TRUE,$L$3-0.45*('SGB II Paare m. und o. Kinder'!F36+'SGB II Paare m. und o. Kinder'!F37+'SGB II Paare m. und o. Kinder'!F42+'SGB II Paare m. und o. Kinder'!F43+'SGB II Paare m. und o. Kinder'!F44+'SGB II Paare m. und o. Kinder'!F45+'SGB II Paare m. und o. Kinder'!F46-'SGB II Paare m. und o. Kinder'!F47-'SGB II Paare m. und o. Kinder'!F48),0)</f>
        <v>0</v>
      </c>
      <c r="E5" s="3">
        <f>IF(E4=TRUE,$L$3-0.45*('SGB II Paare m. und o. Kinder'!G36+'SGB II Paare m. und o. Kinder'!G37+'SGB II Paare m. und o. Kinder'!G42+'SGB II Paare m. und o. Kinder'!G43+'SGB II Paare m. und o. Kinder'!G44+'SGB II Paare m. und o. Kinder'!G45+'SGB II Paare m. und o. Kinder'!G46-'SGB II Paare m. und o. Kinder'!G47-'SGB II Paare m. und o. Kinder'!G48),0)</f>
        <v>0</v>
      </c>
      <c r="F5" s="3">
        <f>IF(F4=TRUE,$L$3-0.45*('SGB II Paare m. und o. Kinder'!H36+'SGB II Paare m. und o. Kinder'!H37+'SGB II Paare m. und o. Kinder'!H42+'SGB II Paare m. und o. Kinder'!H43+'SGB II Paare m. und o. Kinder'!H44+'SGB II Paare m. und o. Kinder'!H45+'SGB II Paare m. und o. Kinder'!H46-'SGB II Paare m. und o. Kinder'!H47-'SGB II Paare m. und o. Kinder'!H48),0)</f>
        <v>0</v>
      </c>
      <c r="G5" s="3">
        <f>IF(G4=TRUE,$L$3-0.45*('SGB II Paare m. und o. Kinder'!I36+'SGB II Paare m. und o. Kinder'!I37+'SGB II Paare m. und o. Kinder'!I42+'SGB II Paare m. und o. Kinder'!I43+'SGB II Paare m. und o. Kinder'!I44+'SGB II Paare m. und o. Kinder'!I45+'SGB II Paare m. und o. Kinder'!I46-'SGB II Paare m. und o. Kinder'!I47-'SGB II Paare m. und o. Kinder'!I48),0)</f>
        <v>0</v>
      </c>
      <c r="H5" s="3">
        <f>IF(H4=TRUE,$L$3-0.45*('SGB II Paare m. und o. Kinder'!J36+'SGB II Paare m. und o. Kinder'!J37+'SGB II Paare m. und o. Kinder'!J42+'SGB II Paare m. und o. Kinder'!J43+'SGB II Paare m. und o. Kinder'!J44+'SGB II Paare m. und o. Kinder'!J45+'SGB II Paare m. und o. Kinder'!J46-'SGB II Paare m. und o. Kinder'!J47-'SGB II Paare m. und o. Kinder'!J48),0)</f>
        <v>0</v>
      </c>
      <c r="I5" s="3">
        <f>IF(I4=TRUE,$L$3-0.45*('SGB II Paare m. und o. Kinder'!K36+'SGB II Paare m. und o. Kinder'!K37+'SGB II Paare m. und o. Kinder'!K42+'SGB II Paare m. und o. Kinder'!K43+'SGB II Paare m. und o. Kinder'!K44+'SGB II Paare m. und o. Kinder'!K45+'SGB II Paare m. und o. Kinder'!K46-'SGB II Paare m. und o. Kinder'!K47-'SGB II Paare m. und o. Kinder'!K48),0)</f>
        <v>0</v>
      </c>
      <c r="L5"/>
      <c r="N5">
        <v>2024</v>
      </c>
      <c r="O5">
        <v>292</v>
      </c>
      <c r="Q5"/>
    </row>
    <row r="6" spans="1:17" x14ac:dyDescent="0.25">
      <c r="A6" t="s">
        <v>10</v>
      </c>
      <c r="B6" s="8">
        <f>C6+D6+E6+F6+G6+H6+I6</f>
        <v>0</v>
      </c>
      <c r="C6" s="3">
        <f t="shared" ref="C6:I6" si="0">IF(C5&gt;0,IF(C5&gt;$L$3,$L$3,C5),0)</f>
        <v>0</v>
      </c>
      <c r="D6" s="3">
        <f t="shared" si="0"/>
        <v>0</v>
      </c>
      <c r="E6" s="3">
        <f t="shared" si="0"/>
        <v>0</v>
      </c>
      <c r="F6" s="3">
        <f t="shared" si="0"/>
        <v>0</v>
      </c>
      <c r="G6" s="3">
        <f t="shared" si="0"/>
        <v>0</v>
      </c>
      <c r="H6" s="3">
        <f t="shared" si="0"/>
        <v>0</v>
      </c>
      <c r="I6" s="3">
        <f t="shared" si="0"/>
        <v>0</v>
      </c>
      <c r="L6"/>
      <c r="N6">
        <v>2025</v>
      </c>
      <c r="O6">
        <v>297</v>
      </c>
      <c r="Q6"/>
    </row>
    <row r="7" spans="1:17" ht="42" customHeight="1" x14ac:dyDescent="0.25">
      <c r="A7" s="393" t="s">
        <v>203</v>
      </c>
      <c r="B7" s="394"/>
      <c r="C7" s="394"/>
      <c r="D7" s="394"/>
      <c r="E7" s="394"/>
      <c r="F7" s="394"/>
      <c r="G7" s="394"/>
      <c r="H7" s="394"/>
      <c r="I7" s="395"/>
      <c r="L7"/>
      <c r="N7">
        <v>2026</v>
      </c>
      <c r="O7">
        <v>297</v>
      </c>
      <c r="Q7"/>
    </row>
    <row r="8" spans="1:17" x14ac:dyDescent="0.25">
      <c r="A8" t="s">
        <v>204</v>
      </c>
      <c r="C8" s="290"/>
      <c r="D8" s="79"/>
      <c r="E8" s="79"/>
      <c r="F8" s="84"/>
      <c r="G8" s="84"/>
      <c r="H8" s="84"/>
      <c r="I8" s="84"/>
      <c r="L8"/>
      <c r="N8" s="78"/>
      <c r="O8" s="93">
        <f>SUM(C8:I8)</f>
        <v>0</v>
      </c>
      <c r="Q8"/>
    </row>
    <row r="9" spans="1:17" hidden="1" x14ac:dyDescent="0.25">
      <c r="A9" t="s">
        <v>9</v>
      </c>
      <c r="C9" s="7" t="b">
        <f t="shared" ref="C9:I9" si="1">ISBLANK(C8)</f>
        <v>1</v>
      </c>
      <c r="D9" s="7" t="b">
        <f t="shared" si="1"/>
        <v>1</v>
      </c>
      <c r="E9" s="7" t="b">
        <f t="shared" si="1"/>
        <v>1</v>
      </c>
      <c r="F9" s="7" t="b">
        <f t="shared" si="1"/>
        <v>1</v>
      </c>
      <c r="G9" s="7" t="b">
        <f t="shared" si="1"/>
        <v>1</v>
      </c>
      <c r="H9" s="7" t="b">
        <f t="shared" si="1"/>
        <v>1</v>
      </c>
      <c r="I9" s="7" t="b">
        <f t="shared" si="1"/>
        <v>1</v>
      </c>
      <c r="L9"/>
      <c r="O9" s="93"/>
      <c r="Q9"/>
    </row>
    <row r="10" spans="1:17" x14ac:dyDescent="0.25">
      <c r="A10" t="s">
        <v>10</v>
      </c>
      <c r="B10" s="83">
        <f>C10+D10+E10+F10+G10+H10+I10</f>
        <v>0</v>
      </c>
      <c r="C10" s="2">
        <f>IF(ISBLANK(C8),C6,IF(AND($L3-0.45*C8&gt;0,C4=TRUE),$L3-0.45*C8,0))</f>
        <v>0</v>
      </c>
      <c r="D10" s="2">
        <f t="shared" ref="D10:I10" si="2">IF(ISBLANK(D8),D6,IF(AND($L3-0.45*D8&gt;0,D4=TRUE),$L3-0.45*D8,0))</f>
        <v>0</v>
      </c>
      <c r="E10" s="2">
        <f t="shared" si="2"/>
        <v>0</v>
      </c>
      <c r="F10" s="2">
        <f t="shared" si="2"/>
        <v>0</v>
      </c>
      <c r="G10" s="2">
        <f t="shared" si="2"/>
        <v>0</v>
      </c>
      <c r="H10" s="2">
        <f t="shared" si="2"/>
        <v>0</v>
      </c>
      <c r="I10" s="2">
        <f t="shared" si="2"/>
        <v>0</v>
      </c>
      <c r="J10">
        <v>0</v>
      </c>
      <c r="K10">
        <v>1</v>
      </c>
      <c r="L10"/>
      <c r="Q10"/>
    </row>
    <row r="11" spans="1:17" ht="17.25" customHeight="1" x14ac:dyDescent="0.25">
      <c r="A11" s="1" t="s">
        <v>11</v>
      </c>
      <c r="B11" s="3">
        <f>'SGB II Paare m. und o. Kinder'!C4+'SGB II Paare m. und o. Kinder'!D4+'SGB II Paare m. und o. Kinder'!C5+'SGB II Paare m. und o. Kinder'!D5+'SGB II Paare m. und o. Kinder'!C10+'SGB II Paare m. und o. Kinder'!D10</f>
        <v>1012</v>
      </c>
      <c r="E11"/>
      <c r="F11"/>
      <c r="G11"/>
      <c r="J11">
        <v>1</v>
      </c>
      <c r="K11">
        <v>0.83</v>
      </c>
      <c r="L11" s="45">
        <f>M11/(M11+B3*M12)</f>
        <v>1</v>
      </c>
      <c r="M11">
        <f>5328+852</f>
        <v>6180</v>
      </c>
      <c r="Q11"/>
    </row>
    <row r="12" spans="1:17" x14ac:dyDescent="0.25">
      <c r="A12" s="1" t="s">
        <v>205</v>
      </c>
      <c r="B12" s="43">
        <f>LOOKUP(M25,J10:J17,K10:K17)</f>
        <v>1</v>
      </c>
      <c r="E12"/>
      <c r="F12"/>
      <c r="G12"/>
      <c r="J12">
        <v>2</v>
      </c>
      <c r="K12">
        <v>0.71</v>
      </c>
      <c r="L12"/>
      <c r="M12">
        <f>1068+180</f>
        <v>1248</v>
      </c>
      <c r="Q12"/>
    </row>
    <row r="13" spans="1:17" ht="19.5" customHeight="1" x14ac:dyDescent="0.25">
      <c r="A13" s="1" t="s">
        <v>13</v>
      </c>
      <c r="B13" s="3">
        <f>('SGB II Paare m. und o. Kinder'!B6+'SGB II Paare m. und o. Kinder'!B7+'SGB II Paare m. und o. Kinder'!B8)*B12*(B4+2+'SGB II Paare m. und o. Kinder'!C72)/'SGB II Paare m. und o. Kinder'!X41</f>
        <v>0</v>
      </c>
      <c r="E13"/>
      <c r="F13"/>
      <c r="G13"/>
      <c r="J13">
        <v>3</v>
      </c>
      <c r="K13">
        <v>0.62</v>
      </c>
      <c r="L13"/>
      <c r="Q13"/>
    </row>
    <row r="14" spans="1:17" x14ac:dyDescent="0.25">
      <c r="A14" s="26" t="s">
        <v>14</v>
      </c>
      <c r="B14" s="8">
        <f>B11+B13</f>
        <v>1012</v>
      </c>
      <c r="E14"/>
      <c r="F14"/>
      <c r="G14"/>
      <c r="J14">
        <v>4</v>
      </c>
      <c r="K14">
        <v>0.55000000000000004</v>
      </c>
      <c r="L14"/>
      <c r="Q14"/>
    </row>
    <row r="15" spans="1:17" hidden="1" x14ac:dyDescent="0.25">
      <c r="A15"/>
      <c r="E15"/>
      <c r="F15"/>
      <c r="G15"/>
      <c r="J15">
        <v>5</v>
      </c>
      <c r="K15">
        <v>0.5</v>
      </c>
      <c r="L15"/>
      <c r="Q15"/>
    </row>
    <row r="16" spans="1:17" hidden="1" x14ac:dyDescent="0.25">
      <c r="E16"/>
      <c r="F16"/>
      <c r="G16"/>
      <c r="J16">
        <v>6</v>
      </c>
      <c r="K16">
        <v>0.45</v>
      </c>
      <c r="L16"/>
      <c r="Q16"/>
    </row>
    <row r="17" spans="1:30" hidden="1" x14ac:dyDescent="0.25">
      <c r="A17"/>
      <c r="E17"/>
      <c r="F17"/>
      <c r="G17"/>
      <c r="J17">
        <v>7</v>
      </c>
      <c r="K17">
        <v>0.41</v>
      </c>
      <c r="L17"/>
      <c r="Q17"/>
    </row>
    <row r="18" spans="1:30" hidden="1" x14ac:dyDescent="0.25"/>
    <row r="19" spans="1:30" ht="21" customHeight="1" x14ac:dyDescent="0.25">
      <c r="A19" s="396" t="s">
        <v>15</v>
      </c>
      <c r="B19" s="396"/>
      <c r="C19" s="396"/>
      <c r="D19" s="396"/>
      <c r="E19" s="396"/>
      <c r="F19" s="396"/>
      <c r="G19" s="396"/>
      <c r="H19" s="396"/>
      <c r="I19" s="396"/>
      <c r="J19" s="396"/>
      <c r="K19" s="396"/>
    </row>
    <row r="20" spans="1:30" ht="30" x14ac:dyDescent="0.25">
      <c r="A20" s="116" t="s">
        <v>206</v>
      </c>
      <c r="B20" s="9"/>
      <c r="C20" s="9"/>
      <c r="D20" s="9"/>
      <c r="E20" s="17"/>
      <c r="F20" s="17"/>
      <c r="G20" s="17"/>
      <c r="K20" s="13"/>
      <c r="M20" s="13"/>
      <c r="N20" s="13"/>
      <c r="O20" s="13"/>
      <c r="P20" s="13"/>
      <c r="Q20" s="13"/>
    </row>
    <row r="21" spans="1:30" hidden="1" x14ac:dyDescent="0.25">
      <c r="A21" s="26"/>
      <c r="L21"/>
      <c r="N21" t="s">
        <v>207</v>
      </c>
      <c r="O21" t="s">
        <v>208</v>
      </c>
      <c r="P21" t="s">
        <v>209</v>
      </c>
      <c r="Q21" t="s">
        <v>210</v>
      </c>
      <c r="R21" t="s">
        <v>211</v>
      </c>
      <c r="S21" t="s">
        <v>212</v>
      </c>
      <c r="T21" t="s">
        <v>213</v>
      </c>
    </row>
    <row r="22" spans="1:30" x14ac:dyDescent="0.25">
      <c r="A22" s="1" t="s">
        <v>16</v>
      </c>
      <c r="B22" s="91" t="s">
        <v>17</v>
      </c>
      <c r="C22" s="91" t="s">
        <v>18</v>
      </c>
      <c r="D22" s="91" t="s">
        <v>19</v>
      </c>
      <c r="E22" s="91" t="s">
        <v>20</v>
      </c>
      <c r="F22" s="91" t="s">
        <v>21</v>
      </c>
      <c r="G22" s="91" t="s">
        <v>22</v>
      </c>
      <c r="H22" s="102" t="s">
        <v>23</v>
      </c>
      <c r="J22" t="s">
        <v>53</v>
      </c>
      <c r="L22"/>
      <c r="M22">
        <f>SUM(N22:T22)</f>
        <v>7</v>
      </c>
      <c r="N22">
        <f>IF(('SGB II Paare m. und o. Kinder'!E50-'SGB II Paare m. und o. Kinder'!E38)*0.45+'SGB II Paare m. und o. Kinder'!E38&gt;'SGB II Paare m. und o. Kinder'!E12,0,1)</f>
        <v>1</v>
      </c>
      <c r="O22">
        <f>IF(('SGB II Paare m. und o. Kinder'!F50-'SGB II Paare m. und o. Kinder'!F38)*0.45+'SGB II Paare m. und o. Kinder'!F38&gt;'SGB II Paare m. und o. Kinder'!F12,0,1)</f>
        <v>1</v>
      </c>
      <c r="P22">
        <f>IF(('SGB II Paare m. und o. Kinder'!G50-'SGB II Paare m. und o. Kinder'!G38)*0.45+'SGB II Paare m. und o. Kinder'!G38&gt;'SGB II Paare m. und o. Kinder'!G12,0,1)</f>
        <v>1</v>
      </c>
      <c r="Q22">
        <f>IF(('SGB II Paare m. und o. Kinder'!H50-'SGB II Paare m. und o. Kinder'!H38)*0.45+'SGB II Paare m. und o. Kinder'!H38&gt;'SGB II Paare m. und o. Kinder'!H12,0,1)</f>
        <v>1</v>
      </c>
      <c r="R22">
        <f>IF(('SGB II Paare m. und o. Kinder'!I50-'SGB II Paare m. und o. Kinder'!I38)*0.45+'SGB II Paare m. und o. Kinder'!I38&gt;'SGB II Paare m. und o. Kinder'!I12,0,1)</f>
        <v>1</v>
      </c>
      <c r="S22">
        <f>IF(('SGB II Paare m. und o. Kinder'!J50-'SGB II Paare m. und o. Kinder'!J38)*0.45+'SGB II Paare m. und o. Kinder'!J38&gt;'SGB II Paare m. und o. Kinder'!J12,0,1)</f>
        <v>1</v>
      </c>
      <c r="T22">
        <f>IF(('SGB II Paare m. und o. Kinder'!K50-'SGB II Paare m. und o. Kinder'!K38)*0.45+'SGB II Paare m. und o. Kinder'!K38&gt;'SGB II Paare m. und o. Kinder'!K12,0,1)</f>
        <v>1</v>
      </c>
      <c r="AA22" s="433" t="s">
        <v>24</v>
      </c>
      <c r="AB22" s="433"/>
      <c r="AC22" s="433"/>
      <c r="AD22" s="433"/>
    </row>
    <row r="23" spans="1:30" x14ac:dyDescent="0.25">
      <c r="A23" s="1" t="s">
        <v>25</v>
      </c>
      <c r="B23" s="10">
        <v>0</v>
      </c>
      <c r="C23" s="10">
        <v>0</v>
      </c>
      <c r="D23" s="10">
        <v>0</v>
      </c>
      <c r="E23" s="10">
        <v>0</v>
      </c>
      <c r="F23" s="10">
        <v>0</v>
      </c>
      <c r="G23" s="10">
        <v>0</v>
      </c>
      <c r="J23" t="s">
        <v>55</v>
      </c>
      <c r="L23"/>
      <c r="M23">
        <f>SUM(N23:T23)</f>
        <v>7</v>
      </c>
      <c r="N23">
        <f>IF(ISBLANK(C8),N22,IF(C8*0.45+'SGB II Paare m. und o. Kinder'!E38&gt;'SGB II Paare m. und o. Kinder'!E12,0,1))</f>
        <v>1</v>
      </c>
      <c r="O23">
        <f>IF(ISBLANK(D8),O22,IF(D8*0.45+'SGB II Paare m. und o. Kinder'!F38&gt;'SGB II Paare m. und o. Kinder'!F12,0,1))</f>
        <v>1</v>
      </c>
      <c r="P23">
        <f>IF(ISBLANK(E8),P22,IF(E8*0.45+'SGB II Paare m. und o. Kinder'!G38&gt;'SGB II Paare m. und o. Kinder'!G12,0,1))</f>
        <v>1</v>
      </c>
      <c r="Q23">
        <f>IF(ISBLANK(F8),Q22,IF(F8*0.45+'SGB II Paare m. und o. Kinder'!H38&gt;'SGB II Paare m. und o. Kinder'!H12,0,1))</f>
        <v>1</v>
      </c>
      <c r="R23">
        <f>IF(ISBLANK(G8),R22,IF(G8*0.45+'SGB II Paare m. und o. Kinder'!I38&gt;'SGB II Paare m. und o. Kinder'!I12,0,1))</f>
        <v>1</v>
      </c>
      <c r="S23">
        <f>IF(ISBLANK(H8),S22,IF(H8*0.45+'SGB II Paare m. und o. Kinder'!J38&gt;'SGB II Paare m. und o. Kinder'!J12,0,1))</f>
        <v>1</v>
      </c>
      <c r="T23">
        <f>IF(ISBLANK(I8),T22,IF(I8*0.45+'SGB II Paare m. und o. Kinder'!K38&gt;'SGB II Paare m. und o. Kinder'!K12,0,1))</f>
        <v>1</v>
      </c>
      <c r="AA23" s="103"/>
      <c r="AB23" s="103"/>
      <c r="AC23" s="103"/>
      <c r="AD23" s="103"/>
    </row>
    <row r="24" spans="1:30" x14ac:dyDescent="0.25">
      <c r="A24" s="1" t="s">
        <v>26</v>
      </c>
      <c r="B24" s="10">
        <v>0</v>
      </c>
      <c r="C24" s="10">
        <v>0</v>
      </c>
      <c r="D24" s="10">
        <v>0</v>
      </c>
      <c r="E24" s="10">
        <v>0</v>
      </c>
      <c r="F24" s="10">
        <v>0</v>
      </c>
      <c r="G24" s="10">
        <v>0</v>
      </c>
      <c r="J24" t="s">
        <v>57</v>
      </c>
      <c r="L24"/>
      <c r="M24">
        <f>SUM(N24:T24)</f>
        <v>0</v>
      </c>
      <c r="N24">
        <f>IF(AND(N23=1,'SGB II Paare m. und o. Kinder'!E38&gt;0),1,0)</f>
        <v>0</v>
      </c>
      <c r="O24">
        <f>IF(AND(O23=1,'SGB II Paare m. und o. Kinder'!F38&gt;0),1,0)</f>
        <v>0</v>
      </c>
      <c r="P24">
        <f>IF(AND(P23=1,'SGB II Paare m. und o. Kinder'!G38&gt;0),1,0)</f>
        <v>0</v>
      </c>
      <c r="Q24">
        <f>IF(AND(Q23=1,'SGB II Paare m. und o. Kinder'!H38&gt;0),1,0)</f>
        <v>0</v>
      </c>
      <c r="R24">
        <f>IF(AND(R23=1,'SGB II Paare m. und o. Kinder'!I38&gt;0),1,0)</f>
        <v>0</v>
      </c>
      <c r="S24">
        <f>IF(AND(S23=1,'SGB II Paare m. und o. Kinder'!J38&gt;0),1,0)</f>
        <v>0</v>
      </c>
      <c r="T24">
        <f>IF(AND(T23=1,'SGB II Paare m. und o. Kinder'!K38&gt;0),1,0)</f>
        <v>0</v>
      </c>
      <c r="AA24" s="103"/>
      <c r="AB24" s="103"/>
      <c r="AC24" s="103"/>
      <c r="AD24" s="103"/>
    </row>
    <row r="25" spans="1:30" ht="19.5" customHeight="1" x14ac:dyDescent="0.25">
      <c r="A25" s="1" t="str">
        <f>IF(OR(B1=2020,B1=2021,B1=2022,B1="ab 7/2022",B1="bis 06/2023"),"Steuerlich begünstigtes Einkommen eingeben!","Steuerlich begünstigtes Einkommen nicht eingeben!")</f>
        <v>Steuerlich begünstigtes Einkommen nicht eingeben!</v>
      </c>
      <c r="B25" s="10">
        <v>0</v>
      </c>
      <c r="C25" s="10">
        <v>0</v>
      </c>
      <c r="D25" s="10">
        <v>0</v>
      </c>
      <c r="E25" s="10">
        <v>0</v>
      </c>
      <c r="F25" s="10">
        <v>0</v>
      </c>
      <c r="G25" s="10">
        <v>0</v>
      </c>
      <c r="J25" t="s">
        <v>214</v>
      </c>
      <c r="M25">
        <f>M24</f>
        <v>0</v>
      </c>
      <c r="AA25" s="103"/>
      <c r="AB25" s="103"/>
      <c r="AC25" s="103"/>
      <c r="AD25" s="103"/>
    </row>
    <row r="26" spans="1:30" ht="15" customHeight="1" x14ac:dyDescent="0.25">
      <c r="A26" s="1" t="s">
        <v>215</v>
      </c>
      <c r="B26" s="356">
        <f t="shared" ref="B26:G26" si="3">IF($B1="ab 7/2023",0,B25)</f>
        <v>0</v>
      </c>
      <c r="C26" s="356">
        <f t="shared" si="3"/>
        <v>0</v>
      </c>
      <c r="D26" s="356">
        <f t="shared" si="3"/>
        <v>0</v>
      </c>
      <c r="E26" s="356">
        <f t="shared" si="3"/>
        <v>0</v>
      </c>
      <c r="F26" s="356">
        <f t="shared" si="3"/>
        <v>0</v>
      </c>
      <c r="G26" s="356">
        <f t="shared" si="3"/>
        <v>0</v>
      </c>
      <c r="AA26" s="103"/>
      <c r="AB26" s="103"/>
      <c r="AC26" s="103"/>
      <c r="AD26" s="103"/>
    </row>
    <row r="27" spans="1:30" hidden="1" x14ac:dyDescent="0.25">
      <c r="A27" s="1" t="s">
        <v>100</v>
      </c>
      <c r="B27" s="163">
        <f t="shared" ref="B27:G27" si="4">IF(I27&gt;B23+B26,B23+B26,I27)</f>
        <v>0</v>
      </c>
      <c r="C27" s="163">
        <f>IF(J27&gt;C23+C26,C23+C26,J27)</f>
        <v>0</v>
      </c>
      <c r="D27" s="163">
        <f t="shared" si="4"/>
        <v>0</v>
      </c>
      <c r="E27" s="163">
        <f t="shared" si="4"/>
        <v>0</v>
      </c>
      <c r="F27" s="163">
        <f t="shared" si="4"/>
        <v>0</v>
      </c>
      <c r="G27" s="163">
        <f t="shared" si="4"/>
        <v>0</v>
      </c>
      <c r="I27" s="55">
        <f t="shared" ref="I27:N27" si="5">IF(B26&gt;0,IF(B26+100&lt;250,B26+100,250),100)</f>
        <v>100</v>
      </c>
      <c r="J27">
        <f t="shared" si="5"/>
        <v>100</v>
      </c>
      <c r="K27">
        <f t="shared" si="5"/>
        <v>100</v>
      </c>
      <c r="L27">
        <f t="shared" si="5"/>
        <v>100</v>
      </c>
      <c r="M27">
        <f t="shared" si="5"/>
        <v>100</v>
      </c>
      <c r="N27">
        <f t="shared" si="5"/>
        <v>100</v>
      </c>
      <c r="AA27" s="103"/>
      <c r="AB27" s="103"/>
      <c r="AC27" s="103"/>
      <c r="AD27" s="103"/>
    </row>
    <row r="28" spans="1:30" x14ac:dyDescent="0.25">
      <c r="A28" s="1" t="s">
        <v>27</v>
      </c>
      <c r="B28" s="3">
        <f t="shared" ref="B28:G28" si="6">B24+B26</f>
        <v>0</v>
      </c>
      <c r="C28" s="3">
        <f t="shared" si="6"/>
        <v>0</v>
      </c>
      <c r="D28" s="3">
        <f t="shared" si="6"/>
        <v>0</v>
      </c>
      <c r="E28" s="3">
        <f t="shared" si="6"/>
        <v>0</v>
      </c>
      <c r="F28" s="3">
        <f t="shared" si="6"/>
        <v>0</v>
      </c>
      <c r="G28" s="3">
        <f t="shared" si="6"/>
        <v>0</v>
      </c>
      <c r="H28" s="3">
        <f>(SUM(B28:G28))/6</f>
        <v>0</v>
      </c>
      <c r="AA28" s="103"/>
      <c r="AB28" s="103"/>
      <c r="AC28" s="103"/>
      <c r="AD28" s="103"/>
    </row>
    <row r="29" spans="1:30" ht="30" customHeight="1" x14ac:dyDescent="0.25">
      <c r="A29" s="1" t="s">
        <v>28</v>
      </c>
      <c r="B29" s="33">
        <v>0</v>
      </c>
      <c r="C29" s="33">
        <v>0</v>
      </c>
      <c r="D29" s="33">
        <v>0</v>
      </c>
      <c r="E29" s="33">
        <v>0</v>
      </c>
      <c r="F29" s="33">
        <v>0</v>
      </c>
      <c r="G29" s="33">
        <v>0</v>
      </c>
      <c r="AA29" s="103"/>
      <c r="AB29" s="103"/>
      <c r="AC29" s="103"/>
      <c r="AD29" s="103"/>
    </row>
    <row r="30" spans="1:30" x14ac:dyDescent="0.25">
      <c r="A30" s="1" t="s">
        <v>216</v>
      </c>
      <c r="B30" s="33">
        <v>0</v>
      </c>
      <c r="C30" s="33">
        <v>0</v>
      </c>
      <c r="D30" s="33">
        <v>0</v>
      </c>
      <c r="E30" s="33">
        <v>0</v>
      </c>
      <c r="F30" s="33">
        <v>0</v>
      </c>
      <c r="G30" s="33">
        <v>0</v>
      </c>
      <c r="AA30" s="103"/>
      <c r="AB30" s="103"/>
      <c r="AC30" s="103"/>
      <c r="AD30" s="103"/>
    </row>
    <row r="31" spans="1:30" ht="30" hidden="1" x14ac:dyDescent="0.25">
      <c r="A31" s="1" t="s">
        <v>217</v>
      </c>
      <c r="B31" s="3">
        <f>IF(B92=TRUE,B24-B97,(IF('SGB II Paare m. und o. Kinder'!$U2=TRUE,'KiZ-Paare mit Kindern'!B28-S65,'KiZ-Paare mit Kindern'!B28-K65)))</f>
        <v>0</v>
      </c>
      <c r="C31" s="3">
        <f>IF(C92=TRUE,C24-C97,(IF('SGB II Paare m. und o. Kinder'!$U2=TRUE,'KiZ-Paare mit Kindern'!C28-T65,'KiZ-Paare mit Kindern'!C28-L65)))</f>
        <v>0</v>
      </c>
      <c r="D31" s="3">
        <f>IF(D92=TRUE,D24-D97,(IF('SGB II Paare m. und o. Kinder'!$U2=TRUE,'KiZ-Paare mit Kindern'!D28-U65,'KiZ-Paare mit Kindern'!D28-M65)))</f>
        <v>0</v>
      </c>
      <c r="E31" s="3">
        <f>IF(E92=TRUE,E24-E97,(IF('SGB II Paare m. und o. Kinder'!$U2=TRUE,'KiZ-Paare mit Kindern'!E28-V65,'KiZ-Paare mit Kindern'!E28-N65)))</f>
        <v>0</v>
      </c>
      <c r="F31" s="3">
        <f>IF(F92=TRUE,F24-F97,(IF('SGB II Paare m. und o. Kinder'!$U2=TRUE,'KiZ-Paare mit Kindern'!F28-W65,'KiZ-Paare mit Kindern'!F28-O65)))</f>
        <v>0</v>
      </c>
      <c r="G31" s="3">
        <f>IF(G92=TRUE,G24-G97,(IF('SGB II Paare m. und o. Kinder'!$U2=TRUE,'KiZ-Paare mit Kindern'!G28-X65,'KiZ-Paare mit Kindern'!G28-P65)))</f>
        <v>0</v>
      </c>
      <c r="AA31" s="103"/>
      <c r="AB31" s="103"/>
      <c r="AC31" s="103"/>
      <c r="AD31" s="103"/>
    </row>
    <row r="32" spans="1:30" x14ac:dyDescent="0.25">
      <c r="A32" s="1" t="s">
        <v>218</v>
      </c>
      <c r="B32" s="2">
        <f t="shared" ref="B32:G32" si="7">IF(B31&lt;0,0,B31)</f>
        <v>0</v>
      </c>
      <c r="C32" s="2">
        <f t="shared" si="7"/>
        <v>0</v>
      </c>
      <c r="D32" s="2">
        <f t="shared" si="7"/>
        <v>0</v>
      </c>
      <c r="E32" s="2">
        <f t="shared" si="7"/>
        <v>0</v>
      </c>
      <c r="F32" s="2">
        <f t="shared" si="7"/>
        <v>0</v>
      </c>
      <c r="G32" s="2">
        <f t="shared" si="7"/>
        <v>0</v>
      </c>
      <c r="H32" s="3">
        <f>(SUM(B32:G32))/6</f>
        <v>0</v>
      </c>
      <c r="I32" t="s">
        <v>31</v>
      </c>
      <c r="AA32" s="103"/>
      <c r="AB32" s="103"/>
      <c r="AC32" s="103"/>
      <c r="AD32" s="103"/>
    </row>
    <row r="33" spans="1:30" x14ac:dyDescent="0.25">
      <c r="A33" s="35" t="s">
        <v>33</v>
      </c>
      <c r="B33" s="8">
        <f>H32</f>
        <v>0</v>
      </c>
      <c r="G33" s="251" t="s">
        <v>219</v>
      </c>
      <c r="H33" s="361">
        <f>(B28+C28+D28+E28+F28+G28-B31-C31-D31-E31-F31-G31)/6</f>
        <v>0</v>
      </c>
      <c r="I33" s="36"/>
      <c r="AA33" s="103"/>
      <c r="AB33" s="103"/>
      <c r="AC33" s="103"/>
      <c r="AD33" s="103"/>
    </row>
    <row r="34" spans="1:30" ht="33" customHeight="1" x14ac:dyDescent="0.25">
      <c r="A34" s="350" t="s">
        <v>220</v>
      </c>
      <c r="B34" s="371"/>
      <c r="C34" s="9"/>
      <c r="D34" s="9"/>
      <c r="E34" s="17"/>
      <c r="F34" s="17"/>
      <c r="G34" s="17"/>
      <c r="I34" s="36"/>
    </row>
    <row r="35" spans="1:30" x14ac:dyDescent="0.25">
      <c r="A35" s="1" t="s">
        <v>16</v>
      </c>
      <c r="B35" s="91" t="s">
        <v>17</v>
      </c>
      <c r="C35" s="91" t="s">
        <v>18</v>
      </c>
      <c r="D35" s="91" t="s">
        <v>19</v>
      </c>
      <c r="E35" s="91" t="s">
        <v>20</v>
      </c>
      <c r="F35" s="91" t="s">
        <v>21</v>
      </c>
      <c r="G35" s="91" t="s">
        <v>22</v>
      </c>
      <c r="J35" s="426" t="s">
        <v>221</v>
      </c>
      <c r="K35" s="427"/>
      <c r="L35" s="427"/>
      <c r="M35" s="427"/>
      <c r="N35" s="427"/>
      <c r="O35" s="428"/>
      <c r="P35" s="32">
        <f t="shared" ref="P35:U35" si="8">IF(B23+B26-100&lt;0,B23+B26,100)</f>
        <v>0</v>
      </c>
      <c r="Q35" s="32">
        <f t="shared" si="8"/>
        <v>0</v>
      </c>
      <c r="R35" s="32">
        <f t="shared" si="8"/>
        <v>0</v>
      </c>
      <c r="S35" s="32">
        <f t="shared" si="8"/>
        <v>0</v>
      </c>
      <c r="T35" s="32">
        <f t="shared" si="8"/>
        <v>0</v>
      </c>
      <c r="U35" s="32">
        <f t="shared" si="8"/>
        <v>0</v>
      </c>
      <c r="W35" t="s">
        <v>222</v>
      </c>
    </row>
    <row r="36" spans="1:30" x14ac:dyDescent="0.25">
      <c r="A36" s="1" t="s">
        <v>25</v>
      </c>
      <c r="B36" s="10">
        <v>0</v>
      </c>
      <c r="C36" s="10">
        <v>0</v>
      </c>
      <c r="D36" s="10">
        <v>0</v>
      </c>
      <c r="E36" s="10">
        <v>0</v>
      </c>
      <c r="F36" s="10">
        <v>0</v>
      </c>
      <c r="G36" s="10">
        <v>0</v>
      </c>
      <c r="J36" s="426" t="s">
        <v>165</v>
      </c>
      <c r="K36" s="427"/>
      <c r="L36" s="427"/>
      <c r="M36" s="427"/>
      <c r="N36" s="427"/>
      <c r="O36" s="428"/>
      <c r="P36" s="32">
        <f t="shared" ref="P36:U36" si="9">IF(B23+B26&lt;100,0,IF(B23+B26-1000&lt;0,((B23+B26-100)*0.2),180))</f>
        <v>0</v>
      </c>
      <c r="Q36" s="32">
        <f t="shared" si="9"/>
        <v>0</v>
      </c>
      <c r="R36" s="32">
        <f t="shared" si="9"/>
        <v>0</v>
      </c>
      <c r="S36" s="32">
        <f t="shared" si="9"/>
        <v>0</v>
      </c>
      <c r="T36" s="32">
        <f t="shared" si="9"/>
        <v>0</v>
      </c>
      <c r="U36" s="32">
        <f t="shared" si="9"/>
        <v>0</v>
      </c>
      <c r="W36" t="s">
        <v>223</v>
      </c>
    </row>
    <row r="37" spans="1:30" x14ac:dyDescent="0.25">
      <c r="A37" s="1" t="s">
        <v>26</v>
      </c>
      <c r="B37" s="10">
        <v>0</v>
      </c>
      <c r="C37" s="10">
        <v>0</v>
      </c>
      <c r="D37" s="10">
        <v>0</v>
      </c>
      <c r="E37" s="10">
        <v>0</v>
      </c>
      <c r="F37" s="10">
        <v>0</v>
      </c>
      <c r="G37" s="10">
        <v>0</v>
      </c>
      <c r="J37" s="417" t="s">
        <v>167</v>
      </c>
      <c r="K37" s="417"/>
      <c r="L37" s="417"/>
      <c r="M37" s="417"/>
      <c r="N37" s="417"/>
      <c r="O37" s="417"/>
      <c r="P37" s="15">
        <f t="shared" ref="P37:U37" si="10">IF(B23+B26&lt;1000,0,IF(B23+B26-1200&lt;0,((B23+B26-1000)*0.1),20))</f>
        <v>0</v>
      </c>
      <c r="Q37" s="15">
        <f t="shared" si="10"/>
        <v>0</v>
      </c>
      <c r="R37" s="15">
        <f t="shared" si="10"/>
        <v>0</v>
      </c>
      <c r="S37" s="15">
        <f t="shared" si="10"/>
        <v>0</v>
      </c>
      <c r="T37" s="15">
        <f t="shared" si="10"/>
        <v>0</v>
      </c>
      <c r="U37" s="15">
        <f t="shared" si="10"/>
        <v>0</v>
      </c>
      <c r="W37" s="3">
        <f>P41</f>
        <v>0</v>
      </c>
      <c r="X37" s="3">
        <f t="shared" ref="X37:AC37" si="11">Q41</f>
        <v>0</v>
      </c>
      <c r="Y37" s="3">
        <f t="shared" si="11"/>
        <v>0</v>
      </c>
      <c r="Z37" s="3">
        <f t="shared" si="11"/>
        <v>0</v>
      </c>
      <c r="AA37" s="3">
        <f t="shared" si="11"/>
        <v>0</v>
      </c>
      <c r="AB37" s="3">
        <f t="shared" si="11"/>
        <v>0</v>
      </c>
      <c r="AC37" s="3">
        <f t="shared" si="11"/>
        <v>0</v>
      </c>
    </row>
    <row r="38" spans="1:30" ht="15" customHeight="1" x14ac:dyDescent="0.25">
      <c r="A38" s="1" t="str">
        <f>IF(OR(B1=2020,B1=2021,B1=2022,B1="ab 7/2022",B1="bis 06/2023"),"Steuerlich begünstigtes Einkommen eingeben!","Steuerlich begünstigtes Einkommen nicht eingeben!")</f>
        <v>Steuerlich begünstigtes Einkommen nicht eingeben!</v>
      </c>
      <c r="B38" s="10">
        <v>0</v>
      </c>
      <c r="C38" s="10">
        <v>0</v>
      </c>
      <c r="D38" s="10">
        <v>0</v>
      </c>
      <c r="E38" s="10">
        <v>0</v>
      </c>
      <c r="F38" s="10">
        <v>0</v>
      </c>
      <c r="G38" s="10">
        <v>0</v>
      </c>
      <c r="J38" s="417" t="s">
        <v>168</v>
      </c>
      <c r="K38" s="417"/>
      <c r="L38" s="417"/>
      <c r="M38" s="417"/>
      <c r="N38" s="417"/>
      <c r="O38" s="417"/>
      <c r="P38" s="15">
        <f>IF(OR(B23+B26&lt;1200,'SGB II Paare m. und o. Kinder'!$M47=0),0,IF(B23+B26-1500&lt;0,(B23+B26-1200)*0.1,30))</f>
        <v>0</v>
      </c>
      <c r="Q38" s="15">
        <f>IF(OR(C23+C26&lt;1200,'SGB II Paare m. und o. Kinder'!$M47=0),0,IF(C23+C26-1500&lt;0,(C23+C26-1200)*0.1,30))</f>
        <v>0</v>
      </c>
      <c r="R38" s="15">
        <f>IF(OR(D23+D26&lt;1200,'SGB II Paare m. und o. Kinder'!$M47=0),0,IF(D23+D26-1500&lt;0,(D23+D26-1200)*0.1,30))</f>
        <v>0</v>
      </c>
      <c r="S38" s="15">
        <f>IF(OR(E23+E26&lt;1200,'SGB II Paare m. und o. Kinder'!$M47=0),0,IF(E23+E26-1500&lt;0,(E23+E26-1200)*0.1,30))</f>
        <v>0</v>
      </c>
      <c r="T38" s="15">
        <f>IF(OR(F23+F26&lt;1200,'SGB II Paare m. und o. Kinder'!$M47=0),0,IF(F23+F26-1500&lt;0,(F23+F26-1200)*0.1,30))</f>
        <v>0</v>
      </c>
      <c r="U38" s="15">
        <f>IF(OR(G23+G26&lt;1200,'SGB II Paare m. und o. Kinder'!$M47=0),0,IF(G23+G26-1500&lt;0,(G23+G26-1200)*0.1,30))</f>
        <v>0</v>
      </c>
      <c r="W38" s="83">
        <f>IF(P36&gt;84,(P36-84)/2,0)+W37</f>
        <v>0</v>
      </c>
      <c r="X38" s="83">
        <f t="shared" ref="X38:AC38" si="12">IF(Q36&gt;84,(Q36-84)/2,0)+X37</f>
        <v>0</v>
      </c>
      <c r="Y38" s="83">
        <f t="shared" si="12"/>
        <v>0</v>
      </c>
      <c r="Z38" s="83">
        <f t="shared" si="12"/>
        <v>0</v>
      </c>
      <c r="AA38" s="83">
        <f t="shared" si="12"/>
        <v>0</v>
      </c>
      <c r="AB38" s="83">
        <f t="shared" si="12"/>
        <v>0</v>
      </c>
      <c r="AC38" s="83">
        <f t="shared" si="12"/>
        <v>0</v>
      </c>
    </row>
    <row r="39" spans="1:30" ht="16.5" customHeight="1" x14ac:dyDescent="0.25">
      <c r="A39" s="1" t="s">
        <v>215</v>
      </c>
      <c r="B39" s="31">
        <f t="shared" ref="B39:G39" si="13">IF($B1="ab 7/2023",0,B38)</f>
        <v>0</v>
      </c>
      <c r="C39" s="31">
        <f t="shared" si="13"/>
        <v>0</v>
      </c>
      <c r="D39" s="31">
        <f t="shared" si="13"/>
        <v>0</v>
      </c>
      <c r="E39" s="31">
        <f t="shared" si="13"/>
        <v>0</v>
      </c>
      <c r="F39" s="31">
        <f t="shared" si="13"/>
        <v>0</v>
      </c>
      <c r="G39" s="31">
        <f t="shared" si="13"/>
        <v>0</v>
      </c>
      <c r="J39" s="105"/>
      <c r="K39" s="105"/>
      <c r="L39" s="105"/>
      <c r="M39" s="105"/>
      <c r="N39" s="105"/>
      <c r="O39" s="105"/>
      <c r="P39" s="15"/>
      <c r="Q39" s="15"/>
      <c r="R39" s="15"/>
      <c r="S39" s="15"/>
      <c r="T39" s="15"/>
      <c r="U39" s="15"/>
      <c r="W39" s="83"/>
      <c r="X39" s="83"/>
      <c r="Y39" s="83"/>
      <c r="Z39" s="83"/>
      <c r="AA39" s="83"/>
      <c r="AB39" s="83"/>
      <c r="AC39" s="83"/>
    </row>
    <row r="40" spans="1:30" ht="21.75" customHeight="1" x14ac:dyDescent="0.25">
      <c r="A40" s="1" t="s">
        <v>27</v>
      </c>
      <c r="B40" s="2">
        <f t="shared" ref="B40:G40" si="14">B37+B39</f>
        <v>0</v>
      </c>
      <c r="C40" s="3">
        <f t="shared" si="14"/>
        <v>0</v>
      </c>
      <c r="D40" s="3">
        <f t="shared" si="14"/>
        <v>0</v>
      </c>
      <c r="E40" s="3">
        <f t="shared" si="14"/>
        <v>0</v>
      </c>
      <c r="F40" s="3">
        <f t="shared" si="14"/>
        <v>0</v>
      </c>
      <c r="G40" s="3">
        <f t="shared" si="14"/>
        <v>0</v>
      </c>
      <c r="H40" s="3">
        <f>(SUM(B40:G40))/6</f>
        <v>0</v>
      </c>
      <c r="J40" s="417" t="s">
        <v>224</v>
      </c>
      <c r="K40" s="417"/>
      <c r="L40" s="417"/>
      <c r="M40" s="417"/>
      <c r="N40" s="417"/>
      <c r="O40" s="417"/>
      <c r="P40" s="15">
        <f t="shared" ref="P40:U40" si="15">SUM(P35:P38)</f>
        <v>0</v>
      </c>
      <c r="Q40" s="15">
        <f t="shared" si="15"/>
        <v>0</v>
      </c>
      <c r="R40" s="15">
        <f t="shared" si="15"/>
        <v>0</v>
      </c>
      <c r="S40" s="15">
        <f t="shared" si="15"/>
        <v>0</v>
      </c>
      <c r="T40" s="15">
        <f t="shared" si="15"/>
        <v>0</v>
      </c>
      <c r="U40" s="15">
        <f t="shared" si="15"/>
        <v>0</v>
      </c>
      <c r="W40" t="s">
        <v>225</v>
      </c>
    </row>
    <row r="41" spans="1:30" ht="32.25" customHeight="1" x14ac:dyDescent="0.25">
      <c r="A41" s="85" t="s">
        <v>28</v>
      </c>
      <c r="B41" s="33">
        <v>0</v>
      </c>
      <c r="C41" s="33">
        <v>0</v>
      </c>
      <c r="D41" s="33">
        <v>0</v>
      </c>
      <c r="E41" s="33">
        <v>0</v>
      </c>
      <c r="F41" s="33">
        <v>0</v>
      </c>
      <c r="G41" s="33">
        <v>0</v>
      </c>
      <c r="J41" s="429"/>
      <c r="K41" s="429"/>
      <c r="L41" s="429"/>
      <c r="M41" s="429"/>
      <c r="N41" s="429"/>
      <c r="O41" s="429"/>
      <c r="P41" s="3">
        <f t="shared" ref="P41:U41" si="16">P36+P37+P38+B29+B30+B27</f>
        <v>0</v>
      </c>
      <c r="Q41" s="3">
        <f t="shared" si="16"/>
        <v>0</v>
      </c>
      <c r="R41" s="3">
        <f t="shared" si="16"/>
        <v>0</v>
      </c>
      <c r="S41" s="3">
        <f t="shared" si="16"/>
        <v>0</v>
      </c>
      <c r="T41" s="3">
        <f t="shared" si="16"/>
        <v>0</v>
      </c>
      <c r="U41" s="3">
        <f t="shared" si="16"/>
        <v>0</v>
      </c>
      <c r="W41" s="8">
        <f t="shared" ref="W41:AC41" si="17">IF(P36&gt;84,(P36-84)/2,0)+P42</f>
        <v>0</v>
      </c>
      <c r="X41" s="8">
        <f t="shared" si="17"/>
        <v>0</v>
      </c>
      <c r="Y41" s="8">
        <f t="shared" si="17"/>
        <v>0</v>
      </c>
      <c r="Z41" s="8">
        <f t="shared" si="17"/>
        <v>0</v>
      </c>
      <c r="AA41" s="8">
        <f t="shared" si="17"/>
        <v>0</v>
      </c>
      <c r="AB41" s="8">
        <f t="shared" si="17"/>
        <v>0</v>
      </c>
      <c r="AC41" s="8">
        <f t="shared" si="17"/>
        <v>0</v>
      </c>
    </row>
    <row r="42" spans="1:30" x14ac:dyDescent="0.25">
      <c r="A42" s="1" t="s">
        <v>216</v>
      </c>
      <c r="B42" s="33">
        <v>0</v>
      </c>
      <c r="C42" s="33">
        <v>0</v>
      </c>
      <c r="D42" s="33">
        <v>0</v>
      </c>
      <c r="E42" s="33">
        <v>0</v>
      </c>
      <c r="F42" s="33">
        <v>0</v>
      </c>
      <c r="G42" s="33">
        <v>0</v>
      </c>
      <c r="J42" s="429" t="s">
        <v>226</v>
      </c>
      <c r="K42" s="429"/>
      <c r="L42" s="429"/>
      <c r="M42" s="429"/>
      <c r="N42" s="429"/>
      <c r="O42" s="429"/>
      <c r="P42" s="3">
        <f>P36+P37+B29+B30+B27</f>
        <v>0</v>
      </c>
      <c r="Q42" s="3">
        <f>Q35+Q36+Q37+C29+C30+C27-Q35</f>
        <v>0</v>
      </c>
      <c r="R42" s="3">
        <f>R35+R36+R37+D29+D30+D27-R35</f>
        <v>0</v>
      </c>
      <c r="S42" s="3">
        <f>S35+S36+S37+E29+E30+E27-S35</f>
        <v>0</v>
      </c>
      <c r="T42" s="3">
        <f>T35+T36+T37+F29+F30+F27-T35</f>
        <v>0</v>
      </c>
      <c r="U42" s="3">
        <f>U35+U36+U37+G29+G30+G27-U35</f>
        <v>0</v>
      </c>
    </row>
    <row r="43" spans="1:30" hidden="1" x14ac:dyDescent="0.25">
      <c r="A43" s="1" t="s">
        <v>227</v>
      </c>
      <c r="B43" s="3">
        <f>IF(B104=TRUE,B37-B109,IF('SGB II Paare m. und o. Kinder'!$V2=TRUE,'KiZ-Paare mit Kindern'!B40-S76,'KiZ-Paare mit Kindern'!B40-K76))</f>
        <v>0</v>
      </c>
      <c r="C43" s="3">
        <f>IF(C104=TRUE,C37-C109,IF('SGB II Paare m. und o. Kinder'!$V2=TRUE,'KiZ-Paare mit Kindern'!C40-T76,'KiZ-Paare mit Kindern'!C40-L76))</f>
        <v>0</v>
      </c>
      <c r="D43" s="3">
        <f>IF(D104=TRUE,D37-D109,IF('SGB II Paare m. und o. Kinder'!$V2=TRUE,'KiZ-Paare mit Kindern'!D40-U76,'KiZ-Paare mit Kindern'!D40-M76))</f>
        <v>0</v>
      </c>
      <c r="E43" s="3">
        <f>IF(E104=TRUE,E37-E109,IF('SGB II Paare m. und o. Kinder'!$V2=TRUE,'KiZ-Paare mit Kindern'!E40-V76,'KiZ-Paare mit Kindern'!E40-N76))</f>
        <v>0</v>
      </c>
      <c r="F43" s="3">
        <f>IF(F104=TRUE,F37-F109,IF('SGB II Paare m. und o. Kinder'!$V2=TRUE,'KiZ-Paare mit Kindern'!F40-W76,'KiZ-Paare mit Kindern'!F40-O76))</f>
        <v>0</v>
      </c>
      <c r="G43" s="3">
        <f>IF(G104=TRUE,G37-G109,IF('SGB II Paare m. und o. Kinder'!$V2=TRUE,'KiZ-Paare mit Kindern'!G40-X76,'KiZ-Paare mit Kindern'!G40-P76))</f>
        <v>0</v>
      </c>
    </row>
    <row r="44" spans="1:30" x14ac:dyDescent="0.25">
      <c r="A44" s="1" t="s">
        <v>218</v>
      </c>
      <c r="B44" s="2">
        <f t="shared" ref="B44:G44" si="18">IF(B43&lt;0,0,B43)</f>
        <v>0</v>
      </c>
      <c r="C44" s="2">
        <f t="shared" si="18"/>
        <v>0</v>
      </c>
      <c r="D44" s="2">
        <f t="shared" si="18"/>
        <v>0</v>
      </c>
      <c r="E44" s="2">
        <f t="shared" si="18"/>
        <v>0</v>
      </c>
      <c r="F44" s="2">
        <f t="shared" si="18"/>
        <v>0</v>
      </c>
      <c r="G44" s="2">
        <f t="shared" si="18"/>
        <v>0</v>
      </c>
      <c r="H44" s="3">
        <f>(SUM(B44:G44))/6</f>
        <v>0</v>
      </c>
      <c r="I44" t="s">
        <v>31</v>
      </c>
    </row>
    <row r="45" spans="1:30" x14ac:dyDescent="0.25">
      <c r="A45" s="35" t="s">
        <v>33</v>
      </c>
      <c r="B45" s="8">
        <f>H44</f>
        <v>0</v>
      </c>
      <c r="G45" s="251" t="s">
        <v>219</v>
      </c>
      <c r="H45" s="361">
        <f>(B40+C40+D40+E40+F40+G40-B43-C43-D43-E43-F43-G43)/6</f>
        <v>0</v>
      </c>
      <c r="I45" s="36">
        <f>(B24-B45)*0.45</f>
        <v>0</v>
      </c>
      <c r="J45" s="430" t="s">
        <v>89</v>
      </c>
      <c r="K45" s="430"/>
      <c r="L45" s="430"/>
      <c r="M45" s="430"/>
      <c r="N45" s="430"/>
      <c r="O45" s="430"/>
      <c r="P45" s="3">
        <f t="shared" ref="P45:U45" si="19">B36+B39</f>
        <v>0</v>
      </c>
      <c r="Q45" s="3">
        <f t="shared" si="19"/>
        <v>0</v>
      </c>
      <c r="R45" s="3">
        <f t="shared" si="19"/>
        <v>0</v>
      </c>
      <c r="S45" s="3">
        <f t="shared" si="19"/>
        <v>0</v>
      </c>
      <c r="T45" s="3">
        <f t="shared" si="19"/>
        <v>0</v>
      </c>
      <c r="U45" s="3">
        <f t="shared" si="19"/>
        <v>0</v>
      </c>
    </row>
    <row r="46" spans="1:30" x14ac:dyDescent="0.25">
      <c r="F46" s="431" t="s">
        <v>228</v>
      </c>
      <c r="G46" s="432"/>
      <c r="H46" s="362">
        <f>H33+H45</f>
        <v>0</v>
      </c>
      <c r="J46" s="426" t="s">
        <v>221</v>
      </c>
      <c r="K46" s="427"/>
      <c r="L46" s="427"/>
      <c r="M46" s="427"/>
      <c r="N46" s="427"/>
      <c r="O46" s="428"/>
      <c r="P46" s="32">
        <f t="shared" ref="P46:U46" si="20">IF(P45-100&lt;0,P45,100)</f>
        <v>0</v>
      </c>
      <c r="Q46" s="32">
        <f t="shared" si="20"/>
        <v>0</v>
      </c>
      <c r="R46" s="32">
        <f t="shared" si="20"/>
        <v>0</v>
      </c>
      <c r="S46" s="32">
        <f t="shared" si="20"/>
        <v>0</v>
      </c>
      <c r="T46" s="32">
        <f t="shared" si="20"/>
        <v>0</v>
      </c>
      <c r="U46" s="32">
        <f t="shared" si="20"/>
        <v>0</v>
      </c>
      <c r="W46" t="s">
        <v>229</v>
      </c>
    </row>
    <row r="47" spans="1:30" x14ac:dyDescent="0.25">
      <c r="A47" s="424" t="s">
        <v>230</v>
      </c>
      <c r="B47" s="425"/>
      <c r="C47" s="425"/>
      <c r="D47" s="425"/>
      <c r="E47" s="425"/>
      <c r="F47" s="349"/>
      <c r="G47" s="349"/>
      <c r="J47" s="426" t="s">
        <v>165</v>
      </c>
      <c r="K47" s="427"/>
      <c r="L47" s="427"/>
      <c r="M47" s="427"/>
      <c r="N47" s="427"/>
      <c r="O47" s="428"/>
      <c r="P47" s="32">
        <f t="shared" ref="P47:U47" si="21">IF(P45&lt;100,0,IF(P45-1000&lt;0,((P45-100)*0.2),180))</f>
        <v>0</v>
      </c>
      <c r="Q47" s="32">
        <f t="shared" si="21"/>
        <v>0</v>
      </c>
      <c r="R47" s="32">
        <f t="shared" si="21"/>
        <v>0</v>
      </c>
      <c r="S47" s="32">
        <f t="shared" si="21"/>
        <v>0</v>
      </c>
      <c r="T47" s="32">
        <f t="shared" si="21"/>
        <v>0</v>
      </c>
      <c r="U47" s="32">
        <f t="shared" si="21"/>
        <v>0</v>
      </c>
      <c r="W47" s="3">
        <f t="shared" ref="W47:AC47" si="22">P51</f>
        <v>0</v>
      </c>
      <c r="X47" s="3">
        <f t="shared" si="22"/>
        <v>0</v>
      </c>
      <c r="Y47" s="3">
        <f t="shared" si="22"/>
        <v>0</v>
      </c>
      <c r="Z47" s="3">
        <f t="shared" si="22"/>
        <v>0</v>
      </c>
      <c r="AA47" s="3">
        <f t="shared" si="22"/>
        <v>0</v>
      </c>
      <c r="AB47" s="3">
        <f t="shared" si="22"/>
        <v>0</v>
      </c>
      <c r="AC47" s="3">
        <f t="shared" si="22"/>
        <v>0</v>
      </c>
    </row>
    <row r="48" spans="1:30" x14ac:dyDescent="0.25">
      <c r="A48" s="1" t="s">
        <v>16</v>
      </c>
      <c r="B48" s="91" t="s">
        <v>17</v>
      </c>
      <c r="C48" s="91" t="s">
        <v>18</v>
      </c>
      <c r="D48" s="91" t="s">
        <v>19</v>
      </c>
      <c r="E48" s="91" t="s">
        <v>20</v>
      </c>
      <c r="F48" s="91" t="s">
        <v>21</v>
      </c>
      <c r="G48" s="91" t="s">
        <v>22</v>
      </c>
      <c r="J48" s="417" t="s">
        <v>167</v>
      </c>
      <c r="K48" s="417"/>
      <c r="L48" s="417"/>
      <c r="M48" s="417"/>
      <c r="N48" s="417"/>
      <c r="O48" s="417"/>
      <c r="P48" s="15">
        <f t="shared" ref="P48:U48" si="23">IF(P45&lt;1000,0,IF(P45-1200&lt;0,((P45-1000)*0.1),20))</f>
        <v>0</v>
      </c>
      <c r="Q48" s="15">
        <f t="shared" si="23"/>
        <v>0</v>
      </c>
      <c r="R48" s="15">
        <f t="shared" si="23"/>
        <v>0</v>
      </c>
      <c r="S48" s="15">
        <f t="shared" si="23"/>
        <v>0</v>
      </c>
      <c r="T48" s="15">
        <f t="shared" si="23"/>
        <v>0</v>
      </c>
      <c r="U48" s="15">
        <f t="shared" si="23"/>
        <v>0</v>
      </c>
      <c r="W48" s="8">
        <f>IF(P47&gt;84,(P47-84)/2,0)+W47</f>
        <v>0</v>
      </c>
      <c r="X48" s="8">
        <f t="shared" ref="X48:AC48" si="24">IF(Q47&gt;84,(Q47-84)/2,0)+X47</f>
        <v>0</v>
      </c>
      <c r="Y48" s="8">
        <f t="shared" si="24"/>
        <v>0</v>
      </c>
      <c r="Z48" s="8">
        <f t="shared" si="24"/>
        <v>0</v>
      </c>
      <c r="AA48" s="8">
        <f t="shared" si="24"/>
        <v>0</v>
      </c>
      <c r="AB48" s="8">
        <f t="shared" si="24"/>
        <v>0</v>
      </c>
      <c r="AC48" s="8">
        <f t="shared" si="24"/>
        <v>0</v>
      </c>
    </row>
    <row r="49" spans="1:29" ht="31.5" customHeight="1" x14ac:dyDescent="0.25">
      <c r="A49" s="1" t="s">
        <v>231</v>
      </c>
      <c r="B49" s="33">
        <v>0</v>
      </c>
      <c r="C49" s="33">
        <v>0</v>
      </c>
      <c r="D49" s="33">
        <v>0</v>
      </c>
      <c r="E49" s="33">
        <v>0</v>
      </c>
      <c r="F49" s="33">
        <v>0</v>
      </c>
      <c r="G49" s="33">
        <v>0</v>
      </c>
      <c r="J49" s="417" t="s">
        <v>168</v>
      </c>
      <c r="K49" s="417"/>
      <c r="L49" s="417"/>
      <c r="M49" s="417"/>
      <c r="N49" s="417"/>
      <c r="O49" s="417"/>
      <c r="P49" s="15">
        <f>IF(OR(P45&lt;1200,'SGB II Paare m. und o. Kinder'!$N47=0),0,IF(P45-1500&lt;0,(P45-1200)*0.1,30))</f>
        <v>0</v>
      </c>
      <c r="Q49" s="15">
        <f>IF(OR(Q45&lt;1200,'SGB II Paare m. und o. Kinder'!$N47=0),0,IF(Q45-1500&lt;0,(Q45-1200)*0.1,30))</f>
        <v>0</v>
      </c>
      <c r="R49" s="15">
        <f>IF(OR(R45&lt;1200,'SGB II Paare m. und o. Kinder'!$N47=0),0,IF(R45-1500&lt;0,(R45-1200)*0.1,30))</f>
        <v>0</v>
      </c>
      <c r="S49" s="15">
        <f>IF(OR(S45&lt;1200,'SGB II Paare m. und o. Kinder'!$N47=0),0,IF(S45-1500&lt;0,(S45-1200)*0.1,30))</f>
        <v>0</v>
      </c>
      <c r="T49" s="15">
        <f>IF(OR(T45&lt;1200,'SGB II Paare m. und o. Kinder'!$N47=0),0,IF(T45-1500&lt;0,(T45-1200)*0.1,30))</f>
        <v>0</v>
      </c>
      <c r="U49" s="15">
        <f>IF(OR(U45&lt;1200,'SGB II Paare m. und o. Kinder'!$N47=0),0,IF(U45-1500&lt;0,(U45-1200)*0.1,30))</f>
        <v>0</v>
      </c>
      <c r="W49" t="s">
        <v>232</v>
      </c>
    </row>
    <row r="50" spans="1:29" ht="30" x14ac:dyDescent="0.25">
      <c r="A50" s="34" t="s">
        <v>233</v>
      </c>
      <c r="B50" s="33">
        <v>0</v>
      </c>
      <c r="C50" s="33">
        <v>0</v>
      </c>
      <c r="D50" s="33">
        <v>0</v>
      </c>
      <c r="E50" s="33">
        <v>0</v>
      </c>
      <c r="F50" s="33">
        <v>0</v>
      </c>
      <c r="G50" s="33">
        <v>0</v>
      </c>
      <c r="I50" s="3"/>
      <c r="J50" s="417" t="s">
        <v>224</v>
      </c>
      <c r="K50" s="417"/>
      <c r="L50" s="417"/>
      <c r="M50" s="417"/>
      <c r="N50" s="417"/>
      <c r="O50" s="417"/>
      <c r="P50" s="15">
        <f t="shared" ref="P50:U50" si="25">SUM(P46:P49)</f>
        <v>0</v>
      </c>
      <c r="Q50" s="15">
        <f t="shared" si="25"/>
        <v>0</v>
      </c>
      <c r="R50" s="15">
        <f t="shared" si="25"/>
        <v>0</v>
      </c>
      <c r="S50" s="15">
        <f t="shared" si="25"/>
        <v>0</v>
      </c>
      <c r="T50" s="15">
        <f t="shared" si="25"/>
        <v>0</v>
      </c>
      <c r="U50" s="15">
        <f t="shared" si="25"/>
        <v>0</v>
      </c>
      <c r="W50" s="8">
        <f t="shared" ref="W50:AC50" si="26">IF(P47&gt;84,(P47-84)/2,0)+P52</f>
        <v>0</v>
      </c>
      <c r="X50" s="8">
        <f t="shared" si="26"/>
        <v>0</v>
      </c>
      <c r="Y50" s="8">
        <f t="shared" si="26"/>
        <v>0</v>
      </c>
      <c r="Z50" s="8">
        <f t="shared" si="26"/>
        <v>0</v>
      </c>
      <c r="AA50" s="8">
        <f t="shared" si="26"/>
        <v>0</v>
      </c>
      <c r="AB50" s="8">
        <f t="shared" si="26"/>
        <v>0</v>
      </c>
      <c r="AC50" s="8">
        <f t="shared" si="26"/>
        <v>0</v>
      </c>
    </row>
    <row r="51" spans="1:29" ht="33.75" customHeight="1" x14ac:dyDescent="0.25">
      <c r="A51" s="1" t="s">
        <v>56</v>
      </c>
      <c r="B51" s="33">
        <v>0</v>
      </c>
      <c r="C51" s="33">
        <v>0</v>
      </c>
      <c r="D51" s="33">
        <v>0</v>
      </c>
      <c r="E51" s="33">
        <v>0</v>
      </c>
      <c r="F51" s="33">
        <v>0</v>
      </c>
      <c r="G51" s="33">
        <v>0</v>
      </c>
      <c r="J51" s="429"/>
      <c r="K51" s="429"/>
      <c r="L51" s="429"/>
      <c r="M51" s="429"/>
      <c r="N51" s="429"/>
      <c r="O51" s="429"/>
      <c r="P51" s="3">
        <f t="shared" ref="P51:U51" si="27">P47+P48+P49+B41+B42+I55</f>
        <v>0</v>
      </c>
      <c r="Q51" s="3">
        <f t="shared" si="27"/>
        <v>0</v>
      </c>
      <c r="R51" s="3">
        <f t="shared" si="27"/>
        <v>0</v>
      </c>
      <c r="S51" s="3">
        <f t="shared" si="27"/>
        <v>0</v>
      </c>
      <c r="T51" s="3">
        <f t="shared" si="27"/>
        <v>0</v>
      </c>
      <c r="U51" s="3">
        <f t="shared" si="27"/>
        <v>0</v>
      </c>
    </row>
    <row r="52" spans="1:29" x14ac:dyDescent="0.25">
      <c r="A52" s="1" t="s">
        <v>58</v>
      </c>
      <c r="B52" s="3">
        <f t="shared" ref="B52:G52" si="28">IF(B49-B50-B51&gt;0,B49-B50-B51,0)</f>
        <v>0</v>
      </c>
      <c r="C52" s="3">
        <f t="shared" si="28"/>
        <v>0</v>
      </c>
      <c r="D52" s="3">
        <f t="shared" si="28"/>
        <v>0</v>
      </c>
      <c r="E52" s="3">
        <f t="shared" si="28"/>
        <v>0</v>
      </c>
      <c r="F52" s="3">
        <f t="shared" si="28"/>
        <v>0</v>
      </c>
      <c r="G52" s="3">
        <f t="shared" si="28"/>
        <v>0</v>
      </c>
      <c r="J52" s="429" t="s">
        <v>226</v>
      </c>
      <c r="K52" s="429"/>
      <c r="L52" s="429"/>
      <c r="M52" s="429"/>
      <c r="N52" s="429"/>
      <c r="O52" s="429"/>
      <c r="P52" s="3">
        <f>P47+P48+B41+B42+I55</f>
        <v>0</v>
      </c>
      <c r="Q52" s="3">
        <f>Q46+Q47+Q48+C41+C42+J55-Q46</f>
        <v>0</v>
      </c>
      <c r="R52" s="3">
        <f>R46+R47+R48+D41+D42+K55-R46</f>
        <v>0</v>
      </c>
      <c r="S52" s="3">
        <f>S46+S47+S48+E41+E42+L55-S46</f>
        <v>0</v>
      </c>
      <c r="T52" s="3">
        <f>T46+T47+T48+F41+F42+M55-T46</f>
        <v>0</v>
      </c>
      <c r="U52" s="3">
        <f>U46+U47+U48+G41+G42+N55-U46</f>
        <v>0</v>
      </c>
      <c r="V52" s="3">
        <f>V47+V48+V49+V50+H41</f>
        <v>0</v>
      </c>
    </row>
    <row r="53" spans="1:29" x14ac:dyDescent="0.25">
      <c r="A53" s="35" t="s">
        <v>234</v>
      </c>
      <c r="B53" s="8">
        <f>(B52+C52+D52+E52+F52+G52)/6</f>
        <v>0</v>
      </c>
      <c r="V53" s="3">
        <f>V47+V48+V49+H41</f>
        <v>0</v>
      </c>
    </row>
    <row r="54" spans="1:29" x14ac:dyDescent="0.25">
      <c r="A54" s="35"/>
      <c r="B54" s="8"/>
      <c r="I54">
        <f t="shared" ref="I54:N54" si="29">IF(B39&gt;0,IF(B39+100&lt;250,B39+100,250),100)</f>
        <v>100</v>
      </c>
      <c r="J54">
        <f t="shared" si="29"/>
        <v>100</v>
      </c>
      <c r="K54">
        <f t="shared" si="29"/>
        <v>100</v>
      </c>
      <c r="L54">
        <f t="shared" si="29"/>
        <v>100</v>
      </c>
      <c r="M54">
        <f t="shared" si="29"/>
        <v>100</v>
      </c>
      <c r="N54">
        <f t="shared" si="29"/>
        <v>100</v>
      </c>
      <c r="V54" s="3"/>
    </row>
    <row r="55" spans="1:29" hidden="1" x14ac:dyDescent="0.25">
      <c r="G55" s="359" t="s">
        <v>100</v>
      </c>
      <c r="I55">
        <f t="shared" ref="I55:N55" si="30">IF(I54&gt;B36+B39,B36+B39,I54)</f>
        <v>0</v>
      </c>
      <c r="J55">
        <f t="shared" si="30"/>
        <v>0</v>
      </c>
      <c r="K55">
        <f t="shared" si="30"/>
        <v>0</v>
      </c>
      <c r="L55">
        <f t="shared" si="30"/>
        <v>0</v>
      </c>
      <c r="M55">
        <f t="shared" si="30"/>
        <v>0</v>
      </c>
      <c r="N55">
        <f t="shared" si="30"/>
        <v>0</v>
      </c>
      <c r="P55">
        <f>IF(B1="bis 06/2023",2023,B1)</f>
        <v>2026</v>
      </c>
    </row>
    <row r="56" spans="1:29" ht="22.5" customHeight="1" x14ac:dyDescent="0.25">
      <c r="A56" s="424" t="s">
        <v>235</v>
      </c>
      <c r="B56" s="424"/>
      <c r="C56" s="424"/>
      <c r="D56" s="424"/>
      <c r="E56" s="424"/>
      <c r="F56" s="424"/>
      <c r="G56" s="424"/>
      <c r="J56" t="s">
        <v>96</v>
      </c>
      <c r="R56" t="s">
        <v>97</v>
      </c>
    </row>
    <row r="57" spans="1:29" x14ac:dyDescent="0.25">
      <c r="A57" s="1" t="s">
        <v>64</v>
      </c>
      <c r="B57" s="3">
        <f>IF(B53+B33+B45&lt;B14,0,B33+B53+B45-B14)</f>
        <v>0</v>
      </c>
      <c r="J57" s="374">
        <v>2020</v>
      </c>
      <c r="K57" s="3">
        <f t="shared" ref="K57:P57" si="31">P42</f>
        <v>0</v>
      </c>
      <c r="L57" s="3">
        <f t="shared" si="31"/>
        <v>0</v>
      </c>
      <c r="M57" s="3">
        <f t="shared" si="31"/>
        <v>0</v>
      </c>
      <c r="N57" s="3">
        <f t="shared" si="31"/>
        <v>0</v>
      </c>
      <c r="O57" s="3">
        <f t="shared" si="31"/>
        <v>0</v>
      </c>
      <c r="P57" s="3">
        <f t="shared" si="31"/>
        <v>0</v>
      </c>
      <c r="R57" s="374">
        <v>2020</v>
      </c>
      <c r="S57" s="3">
        <f t="shared" ref="S57:X57" si="32">P41</f>
        <v>0</v>
      </c>
      <c r="T57" s="3">
        <f t="shared" si="32"/>
        <v>0</v>
      </c>
      <c r="U57" s="3">
        <f t="shared" si="32"/>
        <v>0</v>
      </c>
      <c r="V57" s="3">
        <f t="shared" si="32"/>
        <v>0</v>
      </c>
      <c r="W57" s="3">
        <f t="shared" si="32"/>
        <v>0</v>
      </c>
      <c r="X57" s="3">
        <f t="shared" si="32"/>
        <v>0</v>
      </c>
    </row>
    <row r="58" spans="1:29" hidden="1" x14ac:dyDescent="0.25">
      <c r="A58" s="1" t="s">
        <v>65</v>
      </c>
      <c r="B58" s="3">
        <f>IF(B53&gt;B14,B53-B14+0.45*(B33+B45),0.45*(B53+B33+B45-B14))</f>
        <v>-455.40000000000003</v>
      </c>
      <c r="J58" s="374"/>
      <c r="L58"/>
      <c r="R58" s="374"/>
    </row>
    <row r="59" spans="1:29" x14ac:dyDescent="0.25">
      <c r="A59" s="1" t="s">
        <v>66</v>
      </c>
      <c r="B59" s="3">
        <f>IF(B58&gt;0,B58,0)</f>
        <v>0</v>
      </c>
      <c r="J59" s="374">
        <v>2021</v>
      </c>
      <c r="K59" s="3">
        <f t="shared" ref="K59:P59" si="33">P42</f>
        <v>0</v>
      </c>
      <c r="L59" s="3">
        <f t="shared" si="33"/>
        <v>0</v>
      </c>
      <c r="M59" s="3">
        <f t="shared" si="33"/>
        <v>0</v>
      </c>
      <c r="N59" s="3">
        <f t="shared" si="33"/>
        <v>0</v>
      </c>
      <c r="O59" s="3">
        <f t="shared" si="33"/>
        <v>0</v>
      </c>
      <c r="P59" s="3">
        <f t="shared" si="33"/>
        <v>0</v>
      </c>
      <c r="R59" s="374">
        <v>2021</v>
      </c>
      <c r="S59" s="3">
        <f t="shared" ref="S59:X59" si="34">P41</f>
        <v>0</v>
      </c>
      <c r="T59" s="3">
        <f t="shared" si="34"/>
        <v>0</v>
      </c>
      <c r="U59" s="3">
        <f t="shared" si="34"/>
        <v>0</v>
      </c>
      <c r="V59" s="3">
        <f t="shared" si="34"/>
        <v>0</v>
      </c>
      <c r="W59" s="3">
        <f t="shared" si="34"/>
        <v>0</v>
      </c>
      <c r="X59" s="3">
        <f t="shared" si="34"/>
        <v>0</v>
      </c>
    </row>
    <row r="60" spans="1:29" x14ac:dyDescent="0.25">
      <c r="A60" s="1" t="s">
        <v>236</v>
      </c>
      <c r="B60" s="3">
        <f>IF(B10-B59&gt;0,B10-B59,0)</f>
        <v>0</v>
      </c>
      <c r="J60" s="374">
        <v>2022</v>
      </c>
      <c r="K60" s="3">
        <f t="shared" ref="K60:P60" si="35">P42</f>
        <v>0</v>
      </c>
      <c r="L60" s="3">
        <f t="shared" si="35"/>
        <v>0</v>
      </c>
      <c r="M60" s="3">
        <f t="shared" si="35"/>
        <v>0</v>
      </c>
      <c r="N60" s="3">
        <f t="shared" si="35"/>
        <v>0</v>
      </c>
      <c r="O60" s="3">
        <f t="shared" si="35"/>
        <v>0</v>
      </c>
      <c r="P60" s="3">
        <f t="shared" si="35"/>
        <v>0</v>
      </c>
      <c r="R60" s="374">
        <v>2022</v>
      </c>
      <c r="S60" s="3">
        <f t="shared" ref="S60:X60" si="36">P41</f>
        <v>0</v>
      </c>
      <c r="T60" s="3">
        <f t="shared" si="36"/>
        <v>0</v>
      </c>
      <c r="U60" s="3">
        <f t="shared" si="36"/>
        <v>0</v>
      </c>
      <c r="V60" s="3">
        <f t="shared" si="36"/>
        <v>0</v>
      </c>
      <c r="W60" s="3">
        <f t="shared" si="36"/>
        <v>0</v>
      </c>
      <c r="X60" s="3">
        <f t="shared" si="36"/>
        <v>0</v>
      </c>
    </row>
    <row r="61" spans="1:29" x14ac:dyDescent="0.25">
      <c r="A61" s="26" t="s">
        <v>434</v>
      </c>
      <c r="B61" s="10">
        <v>0</v>
      </c>
      <c r="J61" s="374" t="s">
        <v>5</v>
      </c>
      <c r="K61" s="3">
        <f t="shared" ref="K61:P61" si="37">P42</f>
        <v>0</v>
      </c>
      <c r="L61" s="3">
        <f t="shared" si="37"/>
        <v>0</v>
      </c>
      <c r="M61" s="3">
        <f t="shared" si="37"/>
        <v>0</v>
      </c>
      <c r="N61" s="3">
        <f t="shared" si="37"/>
        <v>0</v>
      </c>
      <c r="O61" s="3">
        <f t="shared" si="37"/>
        <v>0</v>
      </c>
      <c r="P61" s="3">
        <f t="shared" si="37"/>
        <v>0</v>
      </c>
      <c r="R61" s="374" t="s">
        <v>5</v>
      </c>
      <c r="S61" s="3">
        <f t="shared" ref="S61:X61" si="38">P41</f>
        <v>0</v>
      </c>
      <c r="T61" s="3">
        <f t="shared" si="38"/>
        <v>0</v>
      </c>
      <c r="U61" s="3">
        <f t="shared" si="38"/>
        <v>0</v>
      </c>
      <c r="V61" s="3">
        <f t="shared" si="38"/>
        <v>0</v>
      </c>
      <c r="W61" s="3">
        <f t="shared" si="38"/>
        <v>0</v>
      </c>
      <c r="X61" s="3">
        <f t="shared" si="38"/>
        <v>0</v>
      </c>
    </row>
    <row r="62" spans="1:29" x14ac:dyDescent="0.25">
      <c r="A62" s="26" t="s">
        <v>237</v>
      </c>
      <c r="B62" s="33">
        <v>0</v>
      </c>
      <c r="J62" s="374" t="s">
        <v>413</v>
      </c>
      <c r="K62" s="3">
        <f t="shared" ref="K62:P62" si="39">P42</f>
        <v>0</v>
      </c>
      <c r="L62" s="3">
        <f t="shared" si="39"/>
        <v>0</v>
      </c>
      <c r="M62" s="3">
        <f t="shared" si="39"/>
        <v>0</v>
      </c>
      <c r="N62" s="3">
        <f t="shared" si="39"/>
        <v>0</v>
      </c>
      <c r="O62" s="3">
        <f t="shared" si="39"/>
        <v>0</v>
      </c>
      <c r="P62" s="3">
        <f t="shared" si="39"/>
        <v>0</v>
      </c>
      <c r="R62" s="374" t="s">
        <v>413</v>
      </c>
      <c r="S62" s="3">
        <f t="shared" ref="S62:X62" si="40">P41</f>
        <v>0</v>
      </c>
      <c r="T62" s="3">
        <f t="shared" si="40"/>
        <v>0</v>
      </c>
      <c r="U62" s="3">
        <f t="shared" si="40"/>
        <v>0</v>
      </c>
      <c r="V62" s="3">
        <f t="shared" si="40"/>
        <v>0</v>
      </c>
      <c r="W62" s="3">
        <f t="shared" si="40"/>
        <v>0</v>
      </c>
      <c r="X62" s="3">
        <f t="shared" si="40"/>
        <v>0</v>
      </c>
    </row>
    <row r="63" spans="1:29" ht="20.25" customHeight="1" x14ac:dyDescent="0.25">
      <c r="A63" s="396" t="s">
        <v>69</v>
      </c>
      <c r="B63" s="399"/>
      <c r="C63" s="399"/>
      <c r="D63" s="399"/>
      <c r="J63" s="374" t="s">
        <v>1</v>
      </c>
      <c r="K63" s="3">
        <f t="shared" ref="K63:P63" si="41">W41</f>
        <v>0</v>
      </c>
      <c r="L63" s="3">
        <f>X41</f>
        <v>0</v>
      </c>
      <c r="M63" s="3">
        <f t="shared" si="41"/>
        <v>0</v>
      </c>
      <c r="N63" s="3">
        <f t="shared" si="41"/>
        <v>0</v>
      </c>
      <c r="O63" s="3">
        <f t="shared" si="41"/>
        <v>0</v>
      </c>
      <c r="P63" s="3">
        <f t="shared" si="41"/>
        <v>0</v>
      </c>
      <c r="R63" s="374" t="s">
        <v>1</v>
      </c>
      <c r="S63" s="3">
        <f t="shared" ref="S63:X63" si="42">W38</f>
        <v>0</v>
      </c>
      <c r="T63" s="3">
        <f t="shared" si="42"/>
        <v>0</v>
      </c>
      <c r="U63" s="3">
        <f t="shared" si="42"/>
        <v>0</v>
      </c>
      <c r="V63" s="3">
        <f t="shared" si="42"/>
        <v>0</v>
      </c>
      <c r="W63" s="3">
        <f t="shared" si="42"/>
        <v>0</v>
      </c>
      <c r="X63" s="3">
        <f t="shared" si="42"/>
        <v>0</v>
      </c>
    </row>
    <row r="64" spans="1:29" ht="25.5" customHeight="1" x14ac:dyDescent="0.3">
      <c r="A64" s="352" t="s">
        <v>70</v>
      </c>
      <c r="B64" s="351">
        <f>B84</f>
        <v>0</v>
      </c>
      <c r="J64">
        <v>2024</v>
      </c>
      <c r="K64" s="3">
        <f t="shared" ref="K64:P64" si="43">W41</f>
        <v>0</v>
      </c>
      <c r="L64" s="3">
        <f t="shared" si="43"/>
        <v>0</v>
      </c>
      <c r="M64" s="3">
        <f t="shared" si="43"/>
        <v>0</v>
      </c>
      <c r="N64" s="3">
        <f t="shared" si="43"/>
        <v>0</v>
      </c>
      <c r="O64" s="3">
        <f t="shared" si="43"/>
        <v>0</v>
      </c>
      <c r="P64" s="3">
        <f t="shared" si="43"/>
        <v>0</v>
      </c>
      <c r="Q64" s="98"/>
      <c r="R64">
        <v>2024</v>
      </c>
      <c r="S64" s="3">
        <f t="shared" ref="S64:X64" si="44">W38</f>
        <v>0</v>
      </c>
      <c r="T64" s="3">
        <f t="shared" si="44"/>
        <v>0</v>
      </c>
      <c r="U64" s="3">
        <f t="shared" si="44"/>
        <v>0</v>
      </c>
      <c r="V64" s="3">
        <f t="shared" si="44"/>
        <v>0</v>
      </c>
      <c r="W64" s="3">
        <f t="shared" si="44"/>
        <v>0</v>
      </c>
      <c r="X64" s="3">
        <f t="shared" si="44"/>
        <v>0</v>
      </c>
    </row>
    <row r="65" spans="1:24" s="39" customFormat="1" x14ac:dyDescent="0.25">
      <c r="A65" s="100"/>
      <c r="C65" s="60"/>
      <c r="E65" s="98"/>
      <c r="F65" s="98"/>
      <c r="G65" s="98"/>
      <c r="J65" s="39" t="s">
        <v>98</v>
      </c>
      <c r="K65" s="98">
        <f>VLOOKUP($P$55,$J$57:$P$64,2)</f>
        <v>0</v>
      </c>
      <c r="L65" s="98">
        <f>VLOOKUP($P$55,$J$57:$P$64,3)</f>
        <v>0</v>
      </c>
      <c r="M65" s="98">
        <f>VLOOKUP($P$55,$J$57:$P$64,4)</f>
        <v>0</v>
      </c>
      <c r="N65" s="98">
        <f>VLOOKUP($P$55,$J$57:$P$64,5)</f>
        <v>0</v>
      </c>
      <c r="O65" s="98">
        <f>VLOOKUP($P$55,$J$57:$P$64,6)</f>
        <v>0</v>
      </c>
      <c r="P65" s="98">
        <f>VLOOKUP($P$55,$J$57:$P$64,7)</f>
        <v>0</v>
      </c>
      <c r="R65" s="39" t="s">
        <v>99</v>
      </c>
      <c r="S65" s="98">
        <f>VLOOKUP($P$55,$R57:$X64,2)</f>
        <v>0</v>
      </c>
      <c r="T65" s="98">
        <f>VLOOKUP($P$55,$R57:$X64,3)</f>
        <v>0</v>
      </c>
      <c r="U65" s="98">
        <f>VLOOKUP($P$55,$R57:$X64,4)</f>
        <v>0</v>
      </c>
      <c r="V65" s="98">
        <f>VLOOKUP($P$55,$R57:$X64,5)</f>
        <v>0</v>
      </c>
      <c r="W65" s="98">
        <f>VLOOKUP($P$55,$R57:$X64,6)</f>
        <v>0</v>
      </c>
      <c r="X65" s="98">
        <f>VLOOKUP($P$55,$R57:$X64,7)</f>
        <v>0</v>
      </c>
    </row>
    <row r="66" spans="1:24" s="39" customFormat="1" x14ac:dyDescent="0.25">
      <c r="A66" s="100"/>
      <c r="C66" s="60"/>
      <c r="E66" s="98"/>
      <c r="F66" s="98"/>
      <c r="G66" s="98"/>
      <c r="H66" s="97"/>
      <c r="J66" s="99"/>
      <c r="O66" s="98"/>
      <c r="Q66" s="95"/>
    </row>
    <row r="67" spans="1:24" ht="46.5" customHeight="1" x14ac:dyDescent="0.3">
      <c r="A67" s="392" t="s">
        <v>71</v>
      </c>
      <c r="B67" s="392"/>
      <c r="C67" s="392"/>
      <c r="D67" s="392"/>
      <c r="E67" s="392"/>
      <c r="F67" s="392"/>
      <c r="G67" s="392"/>
      <c r="H67" s="392"/>
      <c r="I67" s="392"/>
      <c r="V67" s="39"/>
      <c r="W67" s="39"/>
      <c r="X67" s="39"/>
    </row>
    <row r="68" spans="1:24" ht="15.95" hidden="1" customHeight="1" x14ac:dyDescent="0.25">
      <c r="A68" s="1" t="s">
        <v>72</v>
      </c>
      <c r="B68" s="4" t="s">
        <v>35</v>
      </c>
      <c r="C68" s="4" t="s">
        <v>36</v>
      </c>
      <c r="D68" s="4" t="s">
        <v>37</v>
      </c>
      <c r="E68" s="4" t="s">
        <v>38</v>
      </c>
      <c r="F68" s="4" t="s">
        <v>39</v>
      </c>
      <c r="G68" s="4" t="s">
        <v>40</v>
      </c>
      <c r="H68" s="4" t="s">
        <v>41</v>
      </c>
      <c r="I68" s="4" t="s">
        <v>238</v>
      </c>
      <c r="J68" t="s">
        <v>96</v>
      </c>
      <c r="R68" t="s">
        <v>97</v>
      </c>
    </row>
    <row r="69" spans="1:24" hidden="1" x14ac:dyDescent="0.25">
      <c r="A69" s="1" t="s">
        <v>74</v>
      </c>
      <c r="B69">
        <f>IF(C9=FALSE,C8,IF('SGB II Paare m. und o. Kinder'!E50-'SGB II Paare m. und o. Kinder'!E38&gt;0,'SGB II Paare m. und o. Kinder'!E50-'SGB II Paare m. und o. Kinder'!E38,0))</f>
        <v>0</v>
      </c>
      <c r="C69">
        <f>IF(D9=FALSE,D8,IF('SGB II Paare m. und o. Kinder'!F50-'SGB II Paare m. und o. Kinder'!F38&gt;0,'SGB II Paare m. und o. Kinder'!F50-'SGB II Paare m. und o. Kinder'!F38,0))</f>
        <v>0</v>
      </c>
      <c r="D69">
        <f>IF(E9=FALSE,E8,IF('SGB II Paare m. und o. Kinder'!G50-'SGB II Paare m. und o. Kinder'!G38&gt;0,'SGB II Paare m. und o. Kinder'!G50-'SGB II Paare m. und o. Kinder'!G38,0))</f>
        <v>0</v>
      </c>
      <c r="E69">
        <f>IF(F9=FALSE,F8,IF('SGB II Paare m. und o. Kinder'!H50-'SGB II Paare m. und o. Kinder'!H38&gt;0,'SGB II Paare m. und o. Kinder'!H50-'SGB II Paare m. und o. Kinder'!H38,0))</f>
        <v>0</v>
      </c>
      <c r="F69">
        <f>IF(G9=FALSE,G8,IF('SGB II Paare m. und o. Kinder'!I50-'SGB II Paare m. und o. Kinder'!I38&gt;0,'SGB II Paare m. und o. Kinder'!I50-'SGB II Paare m. und o. Kinder'!I38,0))</f>
        <v>0</v>
      </c>
      <c r="G69">
        <f>IF(H9=FALSE,H8,IF('SGB II Paare m. und o. Kinder'!J50-'SGB II Paare m. und o. Kinder'!J38&gt;0,'SGB II Paare m. und o. Kinder'!J50-'SGB II Paare m. und o. Kinder'!J38,0))</f>
        <v>0</v>
      </c>
      <c r="H69">
        <f>IF(I9=FALSE,I8,IF('SGB II Paare m. und o. Kinder'!K50-'SGB II Paare m. und o. Kinder'!K38&gt;0,'SGB II Paare m. und o. Kinder'!K50-'SGB II Paare m. und o. Kinder'!K38,0))</f>
        <v>0</v>
      </c>
      <c r="I69" s="4"/>
      <c r="J69">
        <v>2020</v>
      </c>
      <c r="K69" s="3">
        <f t="shared" ref="K69:P69" si="45">P52</f>
        <v>0</v>
      </c>
      <c r="L69" s="3">
        <f t="shared" si="45"/>
        <v>0</v>
      </c>
      <c r="M69" s="3">
        <f t="shared" si="45"/>
        <v>0</v>
      </c>
      <c r="N69" s="3">
        <f t="shared" si="45"/>
        <v>0</v>
      </c>
      <c r="O69" s="3">
        <f t="shared" si="45"/>
        <v>0</v>
      </c>
      <c r="P69" s="3">
        <f t="shared" si="45"/>
        <v>0</v>
      </c>
      <c r="R69">
        <v>2020</v>
      </c>
      <c r="S69" s="3">
        <f t="shared" ref="S69:X69" si="46">P51</f>
        <v>0</v>
      </c>
      <c r="T69" s="3">
        <f t="shared" si="46"/>
        <v>0</v>
      </c>
      <c r="U69" s="3">
        <f t="shared" si="46"/>
        <v>0</v>
      </c>
      <c r="V69" s="3">
        <f t="shared" si="46"/>
        <v>0</v>
      </c>
      <c r="W69" s="3">
        <f t="shared" si="46"/>
        <v>0</v>
      </c>
      <c r="X69" s="3">
        <f t="shared" si="46"/>
        <v>0</v>
      </c>
    </row>
    <row r="70" spans="1:24" ht="24.75" hidden="1" x14ac:dyDescent="0.25">
      <c r="A70" s="96" t="s">
        <v>75</v>
      </c>
      <c r="B70" s="3">
        <f>'SGB II Paare m. und o. Kinder'!E12-'KiZ-Paare mit Kindern'!B69</f>
        <v>0</v>
      </c>
      <c r="C70" s="3">
        <f>'SGB II Paare m. und o. Kinder'!F12-'KiZ-Paare mit Kindern'!C69</f>
        <v>0</v>
      </c>
      <c r="D70" s="3">
        <f>'SGB II Paare m. und o. Kinder'!G12-'KiZ-Paare mit Kindern'!D69</f>
        <v>0</v>
      </c>
      <c r="E70" s="3">
        <f>'SGB II Paare m. und o. Kinder'!H12-'KiZ-Paare mit Kindern'!E69</f>
        <v>0</v>
      </c>
      <c r="F70" s="3">
        <f>'SGB II Paare m. und o. Kinder'!I12-'KiZ-Paare mit Kindern'!F69</f>
        <v>0</v>
      </c>
      <c r="G70" s="3">
        <f>'SGB II Paare m. und o. Kinder'!J12-'KiZ-Paare mit Kindern'!G69</f>
        <v>0</v>
      </c>
      <c r="H70" s="3">
        <f>'SGB II Paare m. und o. Kinder'!K12-'KiZ-Paare mit Kindern'!H69</f>
        <v>0</v>
      </c>
      <c r="I70" s="4"/>
      <c r="J70">
        <v>2021</v>
      </c>
      <c r="K70" s="3">
        <f t="shared" ref="K70:P70" si="47">P52</f>
        <v>0</v>
      </c>
      <c r="L70" s="3">
        <f t="shared" si="47"/>
        <v>0</v>
      </c>
      <c r="M70" s="3">
        <f t="shared" si="47"/>
        <v>0</v>
      </c>
      <c r="N70" s="3">
        <f t="shared" si="47"/>
        <v>0</v>
      </c>
      <c r="O70" s="3">
        <f t="shared" si="47"/>
        <v>0</v>
      </c>
      <c r="P70" s="3">
        <f t="shared" si="47"/>
        <v>0</v>
      </c>
      <c r="R70">
        <v>2021</v>
      </c>
      <c r="S70" s="360">
        <f t="shared" ref="S70:X70" si="48">P50</f>
        <v>0</v>
      </c>
      <c r="T70" s="360">
        <f t="shared" si="48"/>
        <v>0</v>
      </c>
      <c r="U70" s="360">
        <f t="shared" si="48"/>
        <v>0</v>
      </c>
      <c r="V70" s="360">
        <f t="shared" si="48"/>
        <v>0</v>
      </c>
      <c r="W70" s="360">
        <f t="shared" si="48"/>
        <v>0</v>
      </c>
      <c r="X70" s="360">
        <f t="shared" si="48"/>
        <v>0</v>
      </c>
    </row>
    <row r="71" spans="1:24" ht="33" hidden="1" customHeight="1" x14ac:dyDescent="0.25">
      <c r="A71" s="96" t="s">
        <v>424</v>
      </c>
      <c r="B71" s="3">
        <f>IF(B70&gt;0,B70,0)</f>
        <v>0</v>
      </c>
      <c r="C71" s="3">
        <f t="shared" ref="C71:H71" si="49">IF(C70&gt;0,C70,0)</f>
        <v>0</v>
      </c>
      <c r="D71" s="3">
        <f t="shared" si="49"/>
        <v>0</v>
      </c>
      <c r="E71" s="3">
        <f t="shared" si="49"/>
        <v>0</v>
      </c>
      <c r="F71" s="3">
        <f t="shared" si="49"/>
        <v>0</v>
      </c>
      <c r="G71" s="3">
        <f t="shared" si="49"/>
        <v>0</v>
      </c>
      <c r="H71" s="3">
        <f t="shared" si="49"/>
        <v>0</v>
      </c>
      <c r="I71" s="3">
        <f>B71+C71+D71+E71+F71+G71+H71</f>
        <v>0</v>
      </c>
      <c r="J71">
        <v>2022</v>
      </c>
      <c r="K71" s="3">
        <f t="shared" ref="K71:P71" si="50">P52</f>
        <v>0</v>
      </c>
      <c r="L71" s="3">
        <f t="shared" si="50"/>
        <v>0</v>
      </c>
      <c r="M71" s="3">
        <f t="shared" si="50"/>
        <v>0</v>
      </c>
      <c r="N71" s="3">
        <f t="shared" si="50"/>
        <v>0</v>
      </c>
      <c r="O71" s="3">
        <f t="shared" si="50"/>
        <v>0</v>
      </c>
      <c r="P71" s="3">
        <f t="shared" si="50"/>
        <v>0</v>
      </c>
      <c r="R71">
        <v>2022</v>
      </c>
      <c r="S71" s="360">
        <f t="shared" ref="S71:X71" si="51">P50</f>
        <v>0</v>
      </c>
      <c r="T71" s="360">
        <f t="shared" si="51"/>
        <v>0</v>
      </c>
      <c r="U71" s="360">
        <f t="shared" si="51"/>
        <v>0</v>
      </c>
      <c r="V71" s="360">
        <f t="shared" si="51"/>
        <v>0</v>
      </c>
      <c r="W71" s="360">
        <f t="shared" si="51"/>
        <v>0</v>
      </c>
      <c r="X71" s="360">
        <f t="shared" si="51"/>
        <v>0</v>
      </c>
    </row>
    <row r="72" spans="1:24" ht="48.6" hidden="1" customHeight="1" x14ac:dyDescent="0.25">
      <c r="A72" s="87" t="s">
        <v>425</v>
      </c>
      <c r="B72" s="8">
        <f>I71+'SGB II Paare m. und o. Kinder'!C12+'SGB II Paare m. und o. Kinder'!D12</f>
        <v>1012</v>
      </c>
      <c r="J72" t="s">
        <v>5</v>
      </c>
      <c r="K72" s="3">
        <f t="shared" ref="K72:P72" si="52">P52</f>
        <v>0</v>
      </c>
      <c r="L72" s="3">
        <f t="shared" si="52"/>
        <v>0</v>
      </c>
      <c r="M72" s="3">
        <f t="shared" si="52"/>
        <v>0</v>
      </c>
      <c r="N72" s="3">
        <f t="shared" si="52"/>
        <v>0</v>
      </c>
      <c r="O72" s="3">
        <f t="shared" si="52"/>
        <v>0</v>
      </c>
      <c r="P72" s="3">
        <f t="shared" si="52"/>
        <v>0</v>
      </c>
      <c r="R72" t="s">
        <v>5</v>
      </c>
      <c r="S72" s="360">
        <f t="shared" ref="S72:X72" si="53">P50</f>
        <v>0</v>
      </c>
      <c r="T72" s="360">
        <f t="shared" si="53"/>
        <v>0</v>
      </c>
      <c r="U72" s="360">
        <f t="shared" si="53"/>
        <v>0</v>
      </c>
      <c r="V72" s="360">
        <f t="shared" si="53"/>
        <v>0</v>
      </c>
      <c r="W72" s="360">
        <f t="shared" si="53"/>
        <v>0</v>
      </c>
      <c r="X72" s="360">
        <f t="shared" si="53"/>
        <v>0</v>
      </c>
    </row>
    <row r="73" spans="1:24" ht="33.75" hidden="1" customHeight="1" x14ac:dyDescent="0.25">
      <c r="A73" s="396" t="s">
        <v>77</v>
      </c>
      <c r="B73" s="396"/>
      <c r="C73" s="396"/>
      <c r="D73" s="96"/>
      <c r="E73" s="96"/>
      <c r="F73" s="96"/>
      <c r="J73">
        <v>2023</v>
      </c>
      <c r="K73" s="3">
        <f t="shared" ref="K73:P73" si="54">P52</f>
        <v>0</v>
      </c>
      <c r="L73" s="3">
        <f t="shared" si="54"/>
        <v>0</v>
      </c>
      <c r="M73" s="3">
        <f t="shared" si="54"/>
        <v>0</v>
      </c>
      <c r="N73" s="3">
        <f t="shared" si="54"/>
        <v>0</v>
      </c>
      <c r="O73" s="3">
        <f t="shared" si="54"/>
        <v>0</v>
      </c>
      <c r="P73" s="3">
        <f t="shared" si="54"/>
        <v>0</v>
      </c>
      <c r="R73">
        <v>2023</v>
      </c>
      <c r="S73" s="360">
        <f t="shared" ref="S73:X73" si="55">P50</f>
        <v>0</v>
      </c>
      <c r="T73" s="360">
        <f t="shared" si="55"/>
        <v>0</v>
      </c>
      <c r="U73" s="360">
        <f t="shared" si="55"/>
        <v>0</v>
      </c>
      <c r="V73" s="360">
        <f t="shared" si="55"/>
        <v>0</v>
      </c>
      <c r="W73" s="360">
        <f t="shared" si="55"/>
        <v>0</v>
      </c>
      <c r="X73" s="360">
        <f t="shared" si="55"/>
        <v>0</v>
      </c>
    </row>
    <row r="74" spans="1:24" hidden="1" x14ac:dyDescent="0.25">
      <c r="A74" s="1" t="s">
        <v>239</v>
      </c>
      <c r="B74" s="3">
        <f>B61</f>
        <v>0</v>
      </c>
      <c r="J74" t="s">
        <v>1</v>
      </c>
      <c r="K74" s="3">
        <f t="shared" ref="K74:P74" si="56">W50</f>
        <v>0</v>
      </c>
      <c r="L74" s="3">
        <f t="shared" si="56"/>
        <v>0</v>
      </c>
      <c r="M74" s="3">
        <f t="shared" si="56"/>
        <v>0</v>
      </c>
      <c r="N74" s="3">
        <f t="shared" si="56"/>
        <v>0</v>
      </c>
      <c r="O74" s="3">
        <f t="shared" si="56"/>
        <v>0</v>
      </c>
      <c r="P74" s="3">
        <f t="shared" si="56"/>
        <v>0</v>
      </c>
      <c r="R74" t="s">
        <v>1</v>
      </c>
      <c r="S74" s="3">
        <f t="shared" ref="S74:X74" si="57">W48</f>
        <v>0</v>
      </c>
      <c r="T74" s="3">
        <f t="shared" si="57"/>
        <v>0</v>
      </c>
      <c r="U74" s="3">
        <f t="shared" si="57"/>
        <v>0</v>
      </c>
      <c r="V74" s="3">
        <f t="shared" si="57"/>
        <v>0</v>
      </c>
      <c r="W74" s="3">
        <f t="shared" si="57"/>
        <v>0</v>
      </c>
      <c r="X74" s="3">
        <f t="shared" si="57"/>
        <v>0</v>
      </c>
    </row>
    <row r="75" spans="1:24" hidden="1" x14ac:dyDescent="0.25">
      <c r="A75" s="1" t="s">
        <v>80</v>
      </c>
      <c r="B75" s="3">
        <f>B62</f>
        <v>0</v>
      </c>
      <c r="J75">
        <v>2024</v>
      </c>
      <c r="K75" s="3">
        <f t="shared" ref="K75:P75" si="58">W50</f>
        <v>0</v>
      </c>
      <c r="L75" s="3">
        <f t="shared" si="58"/>
        <v>0</v>
      </c>
      <c r="M75" s="3">
        <f t="shared" si="58"/>
        <v>0</v>
      </c>
      <c r="N75" s="3">
        <f t="shared" si="58"/>
        <v>0</v>
      </c>
      <c r="O75" s="3">
        <f t="shared" si="58"/>
        <v>0</v>
      </c>
      <c r="P75" s="3">
        <f t="shared" si="58"/>
        <v>0</v>
      </c>
      <c r="Q75" s="98"/>
      <c r="R75">
        <v>2024</v>
      </c>
      <c r="S75" s="3">
        <f t="shared" ref="S75:X75" si="59">W48</f>
        <v>0</v>
      </c>
      <c r="T75" s="3">
        <f t="shared" si="59"/>
        <v>0</v>
      </c>
      <c r="U75" s="3">
        <f t="shared" si="59"/>
        <v>0</v>
      </c>
      <c r="V75" s="3">
        <f t="shared" si="59"/>
        <v>0</v>
      </c>
      <c r="W75" s="3">
        <f t="shared" si="59"/>
        <v>0</v>
      </c>
      <c r="X75" s="3">
        <f t="shared" si="59"/>
        <v>0</v>
      </c>
    </row>
    <row r="76" spans="1:24" hidden="1" x14ac:dyDescent="0.25">
      <c r="A76" s="1" t="s">
        <v>81</v>
      </c>
      <c r="B76" s="3">
        <f>B33+B45+B53</f>
        <v>0</v>
      </c>
      <c r="J76" s="39" t="s">
        <v>98</v>
      </c>
      <c r="K76" s="98">
        <f>VLOOKUP($P$55,$J69:$P75,2)</f>
        <v>0</v>
      </c>
      <c r="L76" s="98">
        <f>VLOOKUP($P$55,$J69:$P75,3)</f>
        <v>0</v>
      </c>
      <c r="M76" s="98">
        <f>VLOOKUP($P$55,$J69:$P75,4)</f>
        <v>0</v>
      </c>
      <c r="N76" s="98">
        <f>VLOOKUP($P$55,$J69:$P75,5)</f>
        <v>0</v>
      </c>
      <c r="O76" s="98">
        <f>VLOOKUP($P$55,$J69:$P75,6)</f>
        <v>0</v>
      </c>
      <c r="P76" s="98">
        <f>VLOOKUP($P$55,$J69:$P75,7)</f>
        <v>0</v>
      </c>
      <c r="R76" s="39" t="s">
        <v>99</v>
      </c>
      <c r="S76" s="98">
        <f>VLOOKUP($P$55,$R69:$X75,2)</f>
        <v>0</v>
      </c>
      <c r="T76" s="98">
        <f>VLOOKUP($P$55,$R69:$X75,3)</f>
        <v>0</v>
      </c>
      <c r="U76" s="98">
        <f>VLOOKUP($P$55,$R69:$X75,4)</f>
        <v>0</v>
      </c>
      <c r="V76" s="98">
        <f>VLOOKUP($P$55,$R69:$X75,5)</f>
        <v>0</v>
      </c>
      <c r="W76" s="98">
        <f>VLOOKUP($P$55,$R69:$X75,6)</f>
        <v>0</v>
      </c>
      <c r="X76" s="98">
        <f>VLOOKUP($P$55,$R69:$X75,7)</f>
        <v>0</v>
      </c>
    </row>
    <row r="77" spans="1:24" ht="30" hidden="1" x14ac:dyDescent="0.25">
      <c r="A77" s="1" t="s">
        <v>82</v>
      </c>
      <c r="B77" s="101">
        <f>B72-B74-B75-B76</f>
        <v>1012</v>
      </c>
      <c r="C77" t="s">
        <v>240</v>
      </c>
    </row>
    <row r="78" spans="1:24" hidden="1" x14ac:dyDescent="0.25">
      <c r="A78" s="96"/>
      <c r="B78" s="101"/>
    </row>
    <row r="79" spans="1:24" ht="30" hidden="1" x14ac:dyDescent="0.25">
      <c r="A79" s="1" t="s">
        <v>83</v>
      </c>
      <c r="B79" s="101">
        <f>B77-B60</f>
        <v>1012</v>
      </c>
      <c r="C79" t="s">
        <v>240</v>
      </c>
    </row>
    <row r="80" spans="1:24" hidden="1" x14ac:dyDescent="0.25">
      <c r="A80" s="1" t="s">
        <v>84</v>
      </c>
      <c r="B80" s="69" t="str">
        <f>IF(H46&gt;=100,"ja","nein")</f>
        <v>nein</v>
      </c>
    </row>
    <row r="81" spans="1:9" ht="30" x14ac:dyDescent="0.25">
      <c r="A81" s="1" t="s">
        <v>241</v>
      </c>
      <c r="B81" s="69" t="str">
        <f>IF(B79&lt;=0,"ja","nein")</f>
        <v>nein</v>
      </c>
    </row>
    <row r="82" spans="1:9" x14ac:dyDescent="0.25">
      <c r="A82" s="1" t="s">
        <v>86</v>
      </c>
      <c r="B82" s="69" t="str">
        <f>IF(AND(B79&lt;=100,B79&gt;0,H46&gt;=100),"ja","  ")</f>
        <v xml:space="preserve">  </v>
      </c>
    </row>
    <row r="83" spans="1:9" x14ac:dyDescent="0.25">
      <c r="A83" s="1" t="s">
        <v>87</v>
      </c>
      <c r="B83" s="3">
        <f>IF(OR(B81="ja",B82="ja"),B60,0)</f>
        <v>0</v>
      </c>
    </row>
    <row r="84" spans="1:9" x14ac:dyDescent="0.25">
      <c r="A84" s="26" t="s">
        <v>88</v>
      </c>
      <c r="B84" s="8">
        <f>ROUND(B83,0)</f>
        <v>0</v>
      </c>
    </row>
    <row r="85" spans="1:9" hidden="1" x14ac:dyDescent="0.25"/>
    <row r="86" spans="1:9" ht="30" x14ac:dyDescent="0.25">
      <c r="A86" s="26" t="s">
        <v>435</v>
      </c>
      <c r="B86" s="69" t="str">
        <f>IF(B62+B64&gt;='SGB II Paare m. und o. Kinder'!B64,"ja","nein")</f>
        <v>nein</v>
      </c>
    </row>
    <row r="88" spans="1:9" hidden="1" x14ac:dyDescent="0.25"/>
    <row r="89" spans="1:9" hidden="1" x14ac:dyDescent="0.25"/>
    <row r="90" spans="1:9" ht="29.1" hidden="1" customHeight="1" x14ac:dyDescent="0.3">
      <c r="A90" s="400" t="s">
        <v>102</v>
      </c>
      <c r="B90" s="400"/>
      <c r="C90" s="400"/>
      <c r="D90" s="400"/>
      <c r="E90" s="400"/>
      <c r="F90" s="400"/>
      <c r="G90" s="400"/>
      <c r="H90" s="400"/>
      <c r="I90" s="400"/>
    </row>
    <row r="91" spans="1:9" hidden="1" x14ac:dyDescent="0.25">
      <c r="A91" s="1" t="s">
        <v>103</v>
      </c>
      <c r="B91" s="24" t="b">
        <v>0</v>
      </c>
      <c r="C91" s="24" t="b">
        <v>0</v>
      </c>
      <c r="D91" s="24" t="b">
        <v>0</v>
      </c>
      <c r="E91" s="289" t="b">
        <v>0</v>
      </c>
      <c r="F91" s="289" t="b">
        <v>0</v>
      </c>
      <c r="G91" s="289" t="b">
        <v>0</v>
      </c>
    </row>
    <row r="92" spans="1:9" hidden="1" x14ac:dyDescent="0.25">
      <c r="A92" s="1" t="s">
        <v>422</v>
      </c>
      <c r="B92" s="24" t="b">
        <f t="shared" ref="B92:G92" si="60">IF(AND(B91=TRUE,OR($B1="ab 7/2023",$B1=2024,$B1=2025,$B1=2026)),TRUE,FALSE)</f>
        <v>0</v>
      </c>
      <c r="C92" s="24" t="b">
        <f t="shared" si="60"/>
        <v>0</v>
      </c>
      <c r="D92" s="24" t="b">
        <f t="shared" si="60"/>
        <v>0</v>
      </c>
      <c r="E92" s="24" t="b">
        <f t="shared" si="60"/>
        <v>0</v>
      </c>
      <c r="F92" s="24" t="b">
        <f t="shared" si="60"/>
        <v>0</v>
      </c>
      <c r="G92" s="24" t="b">
        <f t="shared" si="60"/>
        <v>0</v>
      </c>
    </row>
    <row r="93" spans="1:9" hidden="1" x14ac:dyDescent="0.25">
      <c r="A93" s="1" t="s">
        <v>104</v>
      </c>
      <c r="B93">
        <f t="shared" ref="B93:G93" si="61">IF(B23&gt;$A100,$A100,B23)</f>
        <v>0</v>
      </c>
      <c r="C93">
        <f t="shared" si="61"/>
        <v>0</v>
      </c>
      <c r="D93">
        <f t="shared" si="61"/>
        <v>0</v>
      </c>
      <c r="E93">
        <f t="shared" si="61"/>
        <v>0</v>
      </c>
      <c r="F93">
        <f t="shared" si="61"/>
        <v>0</v>
      </c>
      <c r="G93">
        <f t="shared" si="61"/>
        <v>0</v>
      </c>
    </row>
    <row r="94" spans="1:9" hidden="1" x14ac:dyDescent="0.25">
      <c r="A94" s="1" t="s">
        <v>105</v>
      </c>
      <c r="B94">
        <f t="shared" ref="B94:G94" si="62">IF(B23&lt;520,0,IF(B23-1000&lt;0,(B23-520)*0.3,144))</f>
        <v>0</v>
      </c>
      <c r="C94">
        <f t="shared" si="62"/>
        <v>0</v>
      </c>
      <c r="D94">
        <f t="shared" si="62"/>
        <v>0</v>
      </c>
      <c r="E94">
        <f t="shared" si="62"/>
        <v>0</v>
      </c>
      <c r="F94">
        <f t="shared" si="62"/>
        <v>0</v>
      </c>
      <c r="G94">
        <f t="shared" si="62"/>
        <v>0</v>
      </c>
    </row>
    <row r="95" spans="1:9" hidden="1" x14ac:dyDescent="0.25">
      <c r="A95" s="1" t="s">
        <v>106</v>
      </c>
      <c r="B95">
        <f t="shared" ref="B95:G95" si="63">IF(B23&lt;1000,0,IF(B23-1200&lt;0,(B23-1000)*0.1,20))</f>
        <v>0</v>
      </c>
      <c r="C95">
        <f t="shared" si="63"/>
        <v>0</v>
      </c>
      <c r="D95">
        <f t="shared" si="63"/>
        <v>0</v>
      </c>
      <c r="E95">
        <f t="shared" si="63"/>
        <v>0</v>
      </c>
      <c r="F95">
        <f t="shared" si="63"/>
        <v>0</v>
      </c>
      <c r="G95">
        <f t="shared" si="63"/>
        <v>0</v>
      </c>
    </row>
    <row r="96" spans="1:9" hidden="1" x14ac:dyDescent="0.25">
      <c r="A96" s="1" t="s">
        <v>107</v>
      </c>
      <c r="B96">
        <f t="shared" ref="B96:G96" si="64">IF(B23&lt;1200,0,IF(B23-1500&lt;0,(B23-1200)*0.1,30))</f>
        <v>0</v>
      </c>
      <c r="C96">
        <f t="shared" si="64"/>
        <v>0</v>
      </c>
      <c r="D96">
        <f t="shared" si="64"/>
        <v>0</v>
      </c>
      <c r="E96">
        <f t="shared" si="64"/>
        <v>0</v>
      </c>
      <c r="F96">
        <f t="shared" si="64"/>
        <v>0</v>
      </c>
      <c r="G96">
        <f t="shared" si="64"/>
        <v>0</v>
      </c>
    </row>
    <row r="97" spans="1:8" hidden="1" x14ac:dyDescent="0.25">
      <c r="A97" s="1" t="s">
        <v>108</v>
      </c>
      <c r="B97">
        <f>IF(OR('SGB II Paare m. und o. Kinder'!$P1=TRUE,'SGB II Paare m. und o. Kinder'!$V1=TRUE),SUM(B93:B96),SUM(B93:B95))</f>
        <v>0</v>
      </c>
      <c r="C97">
        <f>IF(OR('SGB II Paare m. und o. Kinder'!$P1=TRUE,'SGB II Paare m. und o. Kinder'!$V1=TRUE),SUM(C93:C96),SUM(C93:C95))</f>
        <v>0</v>
      </c>
      <c r="D97">
        <f>IF(OR('SGB II Paare m. und o. Kinder'!$P1=TRUE,'SGB II Paare m. und o. Kinder'!$V1=TRUE),SUM(D93:D96),SUM(D93:D95))</f>
        <v>0</v>
      </c>
      <c r="E97">
        <f>IF(OR('SGB II Paare m. und o. Kinder'!$P1=TRUE,'SGB II Paare m. und o. Kinder'!$V1=TRUE),SUM(E93:E96),SUM(E93:E95))</f>
        <v>0</v>
      </c>
      <c r="F97">
        <f>IF(OR('SGB II Paare m. und o. Kinder'!$P1=TRUE,'SGB II Paare m. und o. Kinder'!$V1=TRUE),SUM(F93:F96),SUM(F93:F95))</f>
        <v>0</v>
      </c>
      <c r="G97">
        <f>IF(OR('SGB II Paare m. und o. Kinder'!$P1=TRUE,'SGB II Paare m. und o. Kinder'!$V1=TRUE),SUM(G93:G96),SUM(G93:G95))</f>
        <v>0</v>
      </c>
    </row>
    <row r="98" spans="1:8" hidden="1" x14ac:dyDescent="0.25"/>
    <row r="99" spans="1:8" hidden="1" x14ac:dyDescent="0.25">
      <c r="A99" s="1" t="s">
        <v>100</v>
      </c>
      <c r="B99" t="s">
        <v>1</v>
      </c>
      <c r="C99">
        <v>2024</v>
      </c>
      <c r="D99">
        <v>2025</v>
      </c>
      <c r="E99">
        <v>2026</v>
      </c>
    </row>
    <row r="100" spans="1:8" hidden="1" x14ac:dyDescent="0.25">
      <c r="A100" s="1">
        <f>HLOOKUP(B1,B99:E100,2,TRUE)</f>
        <v>603</v>
      </c>
      <c r="B100">
        <v>520</v>
      </c>
      <c r="C100">
        <v>538</v>
      </c>
      <c r="D100">
        <v>556</v>
      </c>
      <c r="E100">
        <v>603</v>
      </c>
    </row>
    <row r="101" spans="1:8" hidden="1" x14ac:dyDescent="0.25"/>
    <row r="102" spans="1:8" ht="18.75" hidden="1" x14ac:dyDescent="0.3">
      <c r="A102" s="400" t="s">
        <v>242</v>
      </c>
      <c r="B102" s="400"/>
      <c r="C102" s="400"/>
      <c r="D102" s="400"/>
      <c r="E102" s="400"/>
      <c r="F102" s="400"/>
      <c r="G102" s="400"/>
      <c r="H102" s="400"/>
    </row>
    <row r="103" spans="1:8" ht="18.75" hidden="1" x14ac:dyDescent="0.3">
      <c r="A103" s="1" t="s">
        <v>103</v>
      </c>
      <c r="B103" s="355" t="b">
        <v>0</v>
      </c>
      <c r="C103" s="355" t="b">
        <v>0</v>
      </c>
      <c r="D103" s="355" t="b">
        <v>0</v>
      </c>
      <c r="E103" s="355" t="b">
        <v>0</v>
      </c>
      <c r="F103" s="355" t="b">
        <v>0</v>
      </c>
      <c r="G103" s="355" t="b">
        <v>0</v>
      </c>
      <c r="H103" s="347"/>
    </row>
    <row r="104" spans="1:8" ht="18.75" hidden="1" x14ac:dyDescent="0.3">
      <c r="A104" s="1" t="s">
        <v>422</v>
      </c>
      <c r="B104" s="355" t="b">
        <f t="shared" ref="B104:G104" si="65">IF(AND(B103=TRUE,OR($B1="ab 7/2023",$B1=2024,$B1=2025,$B1=2026)),TRUE,FALSE)</f>
        <v>0</v>
      </c>
      <c r="C104" s="355" t="b">
        <f t="shared" si="65"/>
        <v>0</v>
      </c>
      <c r="D104" s="355" t="b">
        <f t="shared" si="65"/>
        <v>0</v>
      </c>
      <c r="E104" s="355" t="b">
        <f t="shared" si="65"/>
        <v>0</v>
      </c>
      <c r="F104" s="355" t="b">
        <f t="shared" si="65"/>
        <v>0</v>
      </c>
      <c r="G104" s="355" t="b">
        <f t="shared" si="65"/>
        <v>0</v>
      </c>
      <c r="H104" s="347"/>
    </row>
    <row r="105" spans="1:8" hidden="1" x14ac:dyDescent="0.25">
      <c r="A105" s="1" t="s">
        <v>104</v>
      </c>
      <c r="B105">
        <f t="shared" ref="B105:G105" si="66">IF(B36&gt;$A112,$A112,B36)</f>
        <v>0</v>
      </c>
      <c r="C105">
        <f t="shared" si="66"/>
        <v>0</v>
      </c>
      <c r="D105">
        <f t="shared" si="66"/>
        <v>0</v>
      </c>
      <c r="E105">
        <f t="shared" si="66"/>
        <v>0</v>
      </c>
      <c r="F105">
        <f t="shared" si="66"/>
        <v>0</v>
      </c>
      <c r="G105">
        <f t="shared" si="66"/>
        <v>0</v>
      </c>
    </row>
    <row r="106" spans="1:8" hidden="1" x14ac:dyDescent="0.25">
      <c r="A106" s="1" t="s">
        <v>105</v>
      </c>
      <c r="B106">
        <f t="shared" ref="B106:G106" si="67">IF(B36&lt;520,0,IF(B36-1000&lt;0,(B36-520)*0.3,144))</f>
        <v>0</v>
      </c>
      <c r="C106">
        <f t="shared" si="67"/>
        <v>0</v>
      </c>
      <c r="D106">
        <f t="shared" si="67"/>
        <v>0</v>
      </c>
      <c r="E106">
        <f t="shared" si="67"/>
        <v>0</v>
      </c>
      <c r="F106">
        <f t="shared" si="67"/>
        <v>0</v>
      </c>
      <c r="G106">
        <f t="shared" si="67"/>
        <v>0</v>
      </c>
    </row>
    <row r="107" spans="1:8" hidden="1" x14ac:dyDescent="0.25">
      <c r="A107" s="1" t="s">
        <v>106</v>
      </c>
      <c r="B107">
        <f t="shared" ref="B107:G107" si="68">IF(B36&lt;1000,0,IF(B36-1200&lt;0,(B36-1000)*0.1,20))</f>
        <v>0</v>
      </c>
      <c r="C107">
        <f t="shared" si="68"/>
        <v>0</v>
      </c>
      <c r="D107">
        <f t="shared" si="68"/>
        <v>0</v>
      </c>
      <c r="E107">
        <f t="shared" si="68"/>
        <v>0</v>
      </c>
      <c r="F107">
        <f t="shared" si="68"/>
        <v>0</v>
      </c>
      <c r="G107">
        <f t="shared" si="68"/>
        <v>0</v>
      </c>
    </row>
    <row r="108" spans="1:8" hidden="1" x14ac:dyDescent="0.25">
      <c r="A108" s="1" t="s">
        <v>107</v>
      </c>
      <c r="B108">
        <f t="shared" ref="B108:G108" si="69">IF(B36&lt;1200,0,IF(B36-1500&lt;0,(B36-1200)*0.1,30))</f>
        <v>0</v>
      </c>
      <c r="C108">
        <f t="shared" si="69"/>
        <v>0</v>
      </c>
      <c r="D108">
        <f t="shared" si="69"/>
        <v>0</v>
      </c>
      <c r="E108">
        <f t="shared" si="69"/>
        <v>0</v>
      </c>
      <c r="F108">
        <f t="shared" si="69"/>
        <v>0</v>
      </c>
      <c r="G108">
        <f t="shared" si="69"/>
        <v>0</v>
      </c>
    </row>
    <row r="109" spans="1:8" hidden="1" x14ac:dyDescent="0.25">
      <c r="A109" s="1" t="s">
        <v>108</v>
      </c>
      <c r="B109">
        <f>IF(OR('SGB II Paare m. und o. Kinder'!$Q1=TRUE,'SGB II Paare m. und o. Kinder'!$V1=TRUE),SUM(B105:B108),SUM(B105:B107))</f>
        <v>0</v>
      </c>
      <c r="C109">
        <f>IF(OR('SGB II Paare m. und o. Kinder'!$Q1=TRUE,'SGB II Paare m. und o. Kinder'!$V1=TRUE),SUM(C105:C108),SUM(C105:C107))</f>
        <v>0</v>
      </c>
      <c r="D109">
        <f>IF(OR('SGB II Paare m. und o. Kinder'!$Q1=TRUE,'SGB II Paare m. und o. Kinder'!$V1=TRUE),SUM(D105:D108),SUM(D105:D107))</f>
        <v>0</v>
      </c>
      <c r="E109">
        <f>IF(OR('SGB II Paare m. und o. Kinder'!$Q1=TRUE,'SGB II Paare m. und o. Kinder'!$V1=TRUE),SUM(E105:E108),SUM(E105:E107))</f>
        <v>0</v>
      </c>
      <c r="F109">
        <f>IF(OR('SGB II Paare m. und o. Kinder'!$Q1=TRUE,'SGB II Paare m. und o. Kinder'!$V1=TRUE),SUM(F105:F108),SUM(F105:F107))</f>
        <v>0</v>
      </c>
      <c r="G109">
        <f>IF(OR('SGB II Paare m. und o. Kinder'!$Q1=TRUE,'SGB II Paare m. und o. Kinder'!$V1=TRUE),SUM(G105:G108),SUM(G105:G107))</f>
        <v>0</v>
      </c>
    </row>
    <row r="110" spans="1:8" hidden="1" x14ac:dyDescent="0.25"/>
    <row r="111" spans="1:8" hidden="1" x14ac:dyDescent="0.25">
      <c r="A111" s="1" t="s">
        <v>100</v>
      </c>
      <c r="B111" t="s">
        <v>1</v>
      </c>
      <c r="C111">
        <v>2024</v>
      </c>
      <c r="D111">
        <v>2025</v>
      </c>
      <c r="E111">
        <v>2026</v>
      </c>
    </row>
    <row r="112" spans="1:8" hidden="1" x14ac:dyDescent="0.25">
      <c r="A112" s="377">
        <f>HLOOKUP(B1,B111:E112,2,TRUE)</f>
        <v>603</v>
      </c>
      <c r="B112">
        <v>520</v>
      </c>
      <c r="C112">
        <v>538</v>
      </c>
      <c r="D112">
        <v>556</v>
      </c>
      <c r="E112">
        <v>603</v>
      </c>
    </row>
    <row r="113" hidden="1" x14ac:dyDescent="0.25"/>
    <row r="114" hidden="1" x14ac:dyDescent="0.25"/>
  </sheetData>
  <sheetProtection algorithmName="SHA-512" hashValue="wvQGZishav1f5KoqqXTwYvTxxverFzPWr64cOQ8DLP4DV3iiqAxl4MHteJTnR2iBsC73AYm9GNoc7dsGeUqdYQ==" saltValue="/BJ+4e8cK6sZXWblDo4vyw==" spinCount="100000" sheet="1" selectLockedCells="1"/>
  <mergeCells count="26">
    <mergeCell ref="A90:I90"/>
    <mergeCell ref="A102:H102"/>
    <mergeCell ref="F46:G46"/>
    <mergeCell ref="AA22:AD22"/>
    <mergeCell ref="A67:I67"/>
    <mergeCell ref="A73:C73"/>
    <mergeCell ref="J48:O48"/>
    <mergeCell ref="J49:O49"/>
    <mergeCell ref="J50:O50"/>
    <mergeCell ref="J51:O51"/>
    <mergeCell ref="A7:I7"/>
    <mergeCell ref="A19:K19"/>
    <mergeCell ref="A56:G56"/>
    <mergeCell ref="A63:D63"/>
    <mergeCell ref="A47:E47"/>
    <mergeCell ref="J35:O35"/>
    <mergeCell ref="J36:O36"/>
    <mergeCell ref="J37:O37"/>
    <mergeCell ref="J40:O40"/>
    <mergeCell ref="J38:O38"/>
    <mergeCell ref="J41:O41"/>
    <mergeCell ref="J42:O42"/>
    <mergeCell ref="J46:O46"/>
    <mergeCell ref="J52:O52"/>
    <mergeCell ref="J45:O45"/>
    <mergeCell ref="J47:O47"/>
  </mergeCells>
  <phoneticPr fontId="6" type="noConversion"/>
  <conditionalFormatting sqref="B81">
    <cfRule type="containsText" dxfId="8" priority="6" operator="containsText" text="nein">
      <formula>NOT(ISERROR(SEARCH("nein",B81)))</formula>
    </cfRule>
    <cfRule type="containsText" dxfId="7" priority="7" operator="containsText" text="ja">
      <formula>NOT(ISERROR(SEARCH("ja",B81)))</formula>
    </cfRule>
  </conditionalFormatting>
  <conditionalFormatting sqref="B82">
    <cfRule type="containsText" dxfId="6" priority="5" operator="containsText" text="ja">
      <formula>NOT(ISERROR(SEARCH("ja",B82)))</formula>
    </cfRule>
  </conditionalFormatting>
  <conditionalFormatting sqref="B86">
    <cfRule type="containsText" dxfId="5" priority="3" operator="containsText" text="nein">
      <formula>NOT(ISERROR(SEARCH("nein",B86)))</formula>
    </cfRule>
    <cfRule type="containsText" dxfId="4" priority="4" operator="containsText" text="ja">
      <formula>NOT(ISERROR(SEARCH("ja",B86)))</formula>
    </cfRule>
  </conditionalFormatting>
  <conditionalFormatting sqref="B25:G25">
    <cfRule type="expression" dxfId="3" priority="1">
      <formula>$B$1="ab 7/2023"</formula>
    </cfRule>
  </conditionalFormatting>
  <conditionalFormatting sqref="B38:G38">
    <cfRule type="expression" dxfId="2" priority="2">
      <formula>$A$38="steuerlich begünstigtes Einkommen nicht eingeben!"</formula>
    </cfRule>
  </conditionalFormatting>
  <dataValidations count="2">
    <dataValidation allowBlank="1" showInputMessage="1" showErrorMessage="1" promptTitle="Grün" prompt="Eingabe nur in grüne Felder möglich !" sqref="A3:B3 AE28:XFD28 A29:A30 H22:H27 A19:A27 H35:H39 A28:Z28 AE49 A61:A62 H48:H51 A64 AE31:XFD33 M22:M24 A4 W52:X59 V43:XFD46 V40:XFD40 A34:XFD34 V44:W47 P43:U45 K43:O44 Y63:XFD63 H41:H45 A42 V55:V59 V77:X87 H46:I46 D20:XFD20 J67:P70 A63:I63 C45:E47 F46 J53:U59 F47:I47 A10:XFD14 C43:G44 A43:B47 H29:H33 J62:X62 Y52:XFD60 A40:I40 Y67:XFD86 X47:XFD47 B20 B19:XFD19 B21:XFD21 T69:X69 Q66:Q70 T67:U68 V68:X68 A31:G33 I31:Z33 F45:G45 I43:J45 A52:I60 J77:P86 R67:R70 J73:R73 R77:U86 Q76:Q85 S67:S69 A67:I86" xr:uid="{00000000-0002-0000-0200-000000000000}"/>
    <dataValidation allowBlank="1" showErrorMessage="1" sqref="AA22:AD33" xr:uid="{00000000-0002-0000-0200-000001000000}"/>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419100</xdr:colOff>
                    <xdr:row>19</xdr:row>
                    <xdr:rowOff>66675</xdr:rowOff>
                  </from>
                  <to>
                    <xdr:col>1</xdr:col>
                    <xdr:colOff>695325</xdr:colOff>
                    <xdr:row>19</xdr:row>
                    <xdr:rowOff>333375</xdr:rowOff>
                  </to>
                </anchor>
              </controlPr>
            </control>
          </mc:Choice>
        </mc:AlternateContent>
        <mc:AlternateContent xmlns:mc="http://schemas.openxmlformats.org/markup-compatibility/2006">
          <mc:Choice Requires="x14">
            <control shapeId="10249" r:id="rId5" name="Check Box 9">
              <controlPr defaultSize="0" autoFill="0" autoLine="0" autoPict="0">
                <anchor moveWithCells="1">
                  <from>
                    <xdr:col>3</xdr:col>
                    <xdr:colOff>390525</xdr:colOff>
                    <xdr:row>19</xdr:row>
                    <xdr:rowOff>104775</xdr:rowOff>
                  </from>
                  <to>
                    <xdr:col>3</xdr:col>
                    <xdr:colOff>619125</xdr:colOff>
                    <xdr:row>19</xdr:row>
                    <xdr:rowOff>304800</xdr:rowOff>
                  </to>
                </anchor>
              </controlPr>
            </control>
          </mc:Choice>
        </mc:AlternateContent>
        <mc:AlternateContent xmlns:mc="http://schemas.openxmlformats.org/markup-compatibility/2006">
          <mc:Choice Requires="x14">
            <control shapeId="10250" r:id="rId6" name="Check Box 10">
              <controlPr defaultSize="0" autoFill="0" autoLine="0" autoPict="0">
                <anchor moveWithCells="1">
                  <from>
                    <xdr:col>2</xdr:col>
                    <xdr:colOff>428625</xdr:colOff>
                    <xdr:row>19</xdr:row>
                    <xdr:rowOff>85725</xdr:rowOff>
                  </from>
                  <to>
                    <xdr:col>2</xdr:col>
                    <xdr:colOff>771525</xdr:colOff>
                    <xdr:row>19</xdr:row>
                    <xdr:rowOff>304800</xdr:rowOff>
                  </to>
                </anchor>
              </controlPr>
            </control>
          </mc:Choice>
        </mc:AlternateContent>
        <mc:AlternateContent xmlns:mc="http://schemas.openxmlformats.org/markup-compatibility/2006">
          <mc:Choice Requires="x14">
            <control shapeId="10251" r:id="rId7" name="Check Box 11">
              <controlPr defaultSize="0" autoFill="0" autoLine="0" autoPict="0">
                <anchor moveWithCells="1">
                  <from>
                    <xdr:col>4</xdr:col>
                    <xdr:colOff>447675</xdr:colOff>
                    <xdr:row>19</xdr:row>
                    <xdr:rowOff>66675</xdr:rowOff>
                  </from>
                  <to>
                    <xdr:col>4</xdr:col>
                    <xdr:colOff>904875</xdr:colOff>
                    <xdr:row>19</xdr:row>
                    <xdr:rowOff>333375</xdr:rowOff>
                  </to>
                </anchor>
              </controlPr>
            </control>
          </mc:Choice>
        </mc:AlternateContent>
        <mc:AlternateContent xmlns:mc="http://schemas.openxmlformats.org/markup-compatibility/2006">
          <mc:Choice Requires="x14">
            <control shapeId="10252" r:id="rId8" name="Check Box 12">
              <controlPr defaultSize="0" autoFill="0" autoLine="0" autoPict="0">
                <anchor moveWithCells="1">
                  <from>
                    <xdr:col>5</xdr:col>
                    <xdr:colOff>495300</xdr:colOff>
                    <xdr:row>19</xdr:row>
                    <xdr:rowOff>76200</xdr:rowOff>
                  </from>
                  <to>
                    <xdr:col>5</xdr:col>
                    <xdr:colOff>762000</xdr:colOff>
                    <xdr:row>19</xdr:row>
                    <xdr:rowOff>295275</xdr:rowOff>
                  </to>
                </anchor>
              </controlPr>
            </control>
          </mc:Choice>
        </mc:AlternateContent>
        <mc:AlternateContent xmlns:mc="http://schemas.openxmlformats.org/markup-compatibility/2006">
          <mc:Choice Requires="x14">
            <control shapeId="10253" r:id="rId9" name="Check Box 13">
              <controlPr defaultSize="0" autoFill="0" autoLine="0" autoPict="0">
                <anchor moveWithCells="1">
                  <from>
                    <xdr:col>6</xdr:col>
                    <xdr:colOff>447675</xdr:colOff>
                    <xdr:row>19</xdr:row>
                    <xdr:rowOff>85725</xdr:rowOff>
                  </from>
                  <to>
                    <xdr:col>6</xdr:col>
                    <xdr:colOff>838200</xdr:colOff>
                    <xdr:row>19</xdr:row>
                    <xdr:rowOff>276225</xdr:rowOff>
                  </to>
                </anchor>
              </controlPr>
            </control>
          </mc:Choice>
        </mc:AlternateContent>
        <mc:AlternateContent xmlns:mc="http://schemas.openxmlformats.org/markup-compatibility/2006">
          <mc:Choice Requires="x14">
            <control shapeId="10254" r:id="rId10" name="Check Box 14">
              <controlPr defaultSize="0" autoFill="0" autoLine="0" autoPict="0">
                <anchor moveWithCells="1">
                  <from>
                    <xdr:col>1</xdr:col>
                    <xdr:colOff>409575</xdr:colOff>
                    <xdr:row>33</xdr:row>
                    <xdr:rowOff>104775</xdr:rowOff>
                  </from>
                  <to>
                    <xdr:col>1</xdr:col>
                    <xdr:colOff>619125</xdr:colOff>
                    <xdr:row>33</xdr:row>
                    <xdr:rowOff>333375</xdr:rowOff>
                  </to>
                </anchor>
              </controlPr>
            </control>
          </mc:Choice>
        </mc:AlternateContent>
        <mc:AlternateContent xmlns:mc="http://schemas.openxmlformats.org/markup-compatibility/2006">
          <mc:Choice Requires="x14">
            <control shapeId="10255" r:id="rId11" name="Check Box 15">
              <controlPr defaultSize="0" autoFill="0" autoLine="0" autoPict="0">
                <anchor moveWithCells="1">
                  <from>
                    <xdr:col>2</xdr:col>
                    <xdr:colOff>419100</xdr:colOff>
                    <xdr:row>33</xdr:row>
                    <xdr:rowOff>114300</xdr:rowOff>
                  </from>
                  <to>
                    <xdr:col>2</xdr:col>
                    <xdr:colOff>638175</xdr:colOff>
                    <xdr:row>33</xdr:row>
                    <xdr:rowOff>342900</xdr:rowOff>
                  </to>
                </anchor>
              </controlPr>
            </control>
          </mc:Choice>
        </mc:AlternateContent>
        <mc:AlternateContent xmlns:mc="http://schemas.openxmlformats.org/markup-compatibility/2006">
          <mc:Choice Requires="x14">
            <control shapeId="10256" r:id="rId12" name="Check Box 16">
              <controlPr defaultSize="0" autoFill="0" autoLine="0" autoPict="0">
                <anchor moveWithCells="1">
                  <from>
                    <xdr:col>3</xdr:col>
                    <xdr:colOff>409575</xdr:colOff>
                    <xdr:row>33</xdr:row>
                    <xdr:rowOff>104775</xdr:rowOff>
                  </from>
                  <to>
                    <xdr:col>3</xdr:col>
                    <xdr:colOff>619125</xdr:colOff>
                    <xdr:row>33</xdr:row>
                    <xdr:rowOff>333375</xdr:rowOff>
                  </to>
                </anchor>
              </controlPr>
            </control>
          </mc:Choice>
        </mc:AlternateContent>
        <mc:AlternateContent xmlns:mc="http://schemas.openxmlformats.org/markup-compatibility/2006">
          <mc:Choice Requires="x14">
            <control shapeId="10257" r:id="rId13" name="Check Box 17">
              <controlPr defaultSize="0" autoFill="0" autoLine="0" autoPict="0">
                <anchor moveWithCells="1">
                  <from>
                    <xdr:col>4</xdr:col>
                    <xdr:colOff>447675</xdr:colOff>
                    <xdr:row>33</xdr:row>
                    <xdr:rowOff>104775</xdr:rowOff>
                  </from>
                  <to>
                    <xdr:col>4</xdr:col>
                    <xdr:colOff>676275</xdr:colOff>
                    <xdr:row>33</xdr:row>
                    <xdr:rowOff>333375</xdr:rowOff>
                  </to>
                </anchor>
              </controlPr>
            </control>
          </mc:Choice>
        </mc:AlternateContent>
        <mc:AlternateContent xmlns:mc="http://schemas.openxmlformats.org/markup-compatibility/2006">
          <mc:Choice Requires="x14">
            <control shapeId="10258" r:id="rId14" name="Check Box 18">
              <controlPr defaultSize="0" autoFill="0" autoLine="0" autoPict="0">
                <anchor moveWithCells="1">
                  <from>
                    <xdr:col>5</xdr:col>
                    <xdr:colOff>581025</xdr:colOff>
                    <xdr:row>33</xdr:row>
                    <xdr:rowOff>104775</xdr:rowOff>
                  </from>
                  <to>
                    <xdr:col>5</xdr:col>
                    <xdr:colOff>800100</xdr:colOff>
                    <xdr:row>33</xdr:row>
                    <xdr:rowOff>333375</xdr:rowOff>
                  </to>
                </anchor>
              </controlPr>
            </control>
          </mc:Choice>
        </mc:AlternateContent>
        <mc:AlternateContent xmlns:mc="http://schemas.openxmlformats.org/markup-compatibility/2006">
          <mc:Choice Requires="x14">
            <control shapeId="10259" r:id="rId15" name="Check Box 19">
              <controlPr defaultSize="0" autoFill="0" autoLine="0" autoPict="0">
                <anchor moveWithCells="1">
                  <from>
                    <xdr:col>6</xdr:col>
                    <xdr:colOff>466725</xdr:colOff>
                    <xdr:row>33</xdr:row>
                    <xdr:rowOff>114300</xdr:rowOff>
                  </from>
                  <to>
                    <xdr:col>6</xdr:col>
                    <xdr:colOff>685800</xdr:colOff>
                    <xdr:row>33</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3"/>
  <dimension ref="A1:BS103"/>
  <sheetViews>
    <sheetView tabSelected="1" zoomScale="160" zoomScaleNormal="160" zoomScaleSheetLayoutView="50" workbookViewId="0">
      <pane ySplit="1" topLeftCell="A2" activePane="bottomLeft" state="frozen"/>
      <selection pane="bottomLeft" activeCell="F2" sqref="F2"/>
    </sheetView>
    <sheetView zoomScale="140" zoomScaleNormal="140" workbookViewId="1">
      <selection activeCell="AF37" sqref="AF37"/>
    </sheetView>
  </sheetViews>
  <sheetFormatPr baseColWidth="10" defaultColWidth="11.42578125" defaultRowHeight="15" x14ac:dyDescent="0.25"/>
  <cols>
    <col min="1" max="1" width="33.140625" style="1" customWidth="1"/>
    <col min="2" max="2" width="16.140625" customWidth="1"/>
    <col min="3" max="4" width="14.5703125" customWidth="1"/>
    <col min="5" max="5" width="16.5703125" style="2" customWidth="1"/>
    <col min="6" max="6" width="17.42578125" style="2" customWidth="1"/>
    <col min="7" max="7" width="16.42578125" style="2" customWidth="1"/>
    <col min="8" max="8" width="14.140625" customWidth="1"/>
    <col min="9" max="9" width="13" customWidth="1"/>
    <col min="10" max="11" width="16.140625" customWidth="1"/>
    <col min="12" max="12" width="19.140625" style="13" hidden="1" customWidth="1"/>
    <col min="13" max="13" width="31.140625" hidden="1" customWidth="1"/>
    <col min="14" max="14" width="18.85546875" hidden="1" customWidth="1"/>
    <col min="15" max="15" width="9.85546875" hidden="1" customWidth="1"/>
    <col min="16" max="16" width="13.42578125" hidden="1" customWidth="1"/>
    <col min="17" max="17" width="11.85546875" style="2" hidden="1" customWidth="1"/>
    <col min="18" max="18" width="9.5703125" hidden="1" customWidth="1"/>
    <col min="19" max="20" width="11.140625" hidden="1" customWidth="1"/>
    <col min="21" max="27" width="9.85546875" hidden="1" customWidth="1"/>
    <col min="28" max="29" width="7.85546875" hidden="1" customWidth="1"/>
    <col min="30" max="30" width="6.5703125" hidden="1" customWidth="1"/>
    <col min="31" max="31" width="13.140625" customWidth="1"/>
    <col min="32" max="32" width="32.85546875" customWidth="1"/>
    <col min="33" max="33" width="18" customWidth="1"/>
    <col min="34" max="40" width="11.42578125" customWidth="1"/>
  </cols>
  <sheetData>
    <row r="1" spans="1:40" s="4" customFormat="1" ht="46.5" customHeight="1" x14ac:dyDescent="0.35">
      <c r="A1" s="107" t="s">
        <v>423</v>
      </c>
      <c r="B1" s="376">
        <v>2026</v>
      </c>
      <c r="C1" s="28" t="s">
        <v>426</v>
      </c>
      <c r="D1" s="28" t="s">
        <v>426</v>
      </c>
      <c r="E1" s="29" t="s">
        <v>35</v>
      </c>
      <c r="F1" s="29" t="s">
        <v>36</v>
      </c>
      <c r="G1" s="29" t="s">
        <v>37</v>
      </c>
      <c r="H1" s="29" t="s">
        <v>38</v>
      </c>
      <c r="I1" s="29" t="s">
        <v>39</v>
      </c>
      <c r="J1" s="29" t="s">
        <v>40</v>
      </c>
      <c r="K1" s="29" t="s">
        <v>41</v>
      </c>
      <c r="L1" s="13"/>
      <c r="M1"/>
      <c r="N1" s="316" t="s">
        <v>245</v>
      </c>
      <c r="O1" s="317"/>
      <c r="P1" s="318" t="b">
        <v>0</v>
      </c>
      <c r="Q1" s="319" t="b">
        <v>0</v>
      </c>
      <c r="R1" s="434" t="s">
        <v>246</v>
      </c>
      <c r="S1" s="434"/>
      <c r="T1" s="434"/>
      <c r="U1" s="434"/>
      <c r="V1" s="321" t="b">
        <f>IF(W1+X1+Y1+Z1+AA1+AB1+AC1&gt;0,TRUE,FALSE)</f>
        <v>0</v>
      </c>
      <c r="W1" s="320">
        <f>IF(OR(E2&gt;=18,ISBLANK(E2)),0,1)</f>
        <v>0</v>
      </c>
      <c r="X1" s="320">
        <f t="shared" ref="X1:AC1" si="0">IF(OR(F2&gt;=18,ISBLANK(F2)),0,1)</f>
        <v>0</v>
      </c>
      <c r="Y1" s="320">
        <f t="shared" si="0"/>
        <v>0</v>
      </c>
      <c r="Z1" s="320">
        <f t="shared" si="0"/>
        <v>0</v>
      </c>
      <c r="AA1" s="320">
        <f t="shared" si="0"/>
        <v>0</v>
      </c>
      <c r="AB1" s="320">
        <f t="shared" si="0"/>
        <v>0</v>
      </c>
      <c r="AC1" s="322">
        <f t="shared" si="0"/>
        <v>0</v>
      </c>
      <c r="AF1" s="312" t="s">
        <v>247</v>
      </c>
      <c r="AG1" s="312" t="s">
        <v>248</v>
      </c>
    </row>
    <row r="2" spans="1:40" ht="30.95" customHeight="1" x14ac:dyDescent="0.25">
      <c r="A2" s="368" t="s">
        <v>406</v>
      </c>
      <c r="B2" s="367" t="s">
        <v>117</v>
      </c>
      <c r="C2" s="51" t="s">
        <v>118</v>
      </c>
      <c r="D2" s="134" t="s">
        <v>118</v>
      </c>
      <c r="E2" s="6"/>
      <c r="F2" s="6"/>
      <c r="G2" s="6"/>
      <c r="H2" s="6"/>
      <c r="I2" s="6"/>
      <c r="J2" s="6"/>
      <c r="K2" s="6"/>
      <c r="L2" s="13" t="s">
        <v>1</v>
      </c>
      <c r="M2" s="4" t="b">
        <f>IF(OR(B1="ab 7/2023",B1=2024,B1=2025,B1=2026),TRUE,FALSE)</f>
        <v>1</v>
      </c>
      <c r="N2" s="4" t="s">
        <v>115</v>
      </c>
      <c r="O2" t="b">
        <v>0</v>
      </c>
      <c r="P2" s="323"/>
      <c r="Q2" s="324"/>
      <c r="R2" s="325" t="s">
        <v>249</v>
      </c>
      <c r="S2" s="325"/>
      <c r="T2" s="325"/>
      <c r="U2" s="325" t="b">
        <f>IF(OR(V1=TRUE,P1=TRUE),TRUE,FALSE)</f>
        <v>0</v>
      </c>
      <c r="V2" s="325" t="b">
        <f>IF(OR(V1=TRUE,Q1=TRUE),TRUE,FALSE)</f>
        <v>0</v>
      </c>
      <c r="W2" s="325"/>
      <c r="X2" s="325"/>
      <c r="Y2" s="325"/>
      <c r="Z2" s="325"/>
      <c r="AA2" s="325"/>
      <c r="AB2" s="325"/>
      <c r="AC2" s="326"/>
      <c r="AF2" t="b">
        <f>IF(OR(P1=TRUE,V1=TRUE),TRUE,FALSE)</f>
        <v>0</v>
      </c>
      <c r="AG2" t="b">
        <f>IF(OR(Q1=TRUE,V1=TRUE),TRUE,FALSE)</f>
        <v>0</v>
      </c>
      <c r="AH2" t="b">
        <f>IF($V1=TRUE,TRUE,FALSE)</f>
        <v>0</v>
      </c>
      <c r="AI2" t="b">
        <f t="shared" ref="AI2:AN2" si="1">IF($V1=TRUE,TRUE,FALSE)</f>
        <v>0</v>
      </c>
      <c r="AJ2" t="b">
        <f t="shared" si="1"/>
        <v>0</v>
      </c>
      <c r="AK2" t="b">
        <f t="shared" si="1"/>
        <v>0</v>
      </c>
      <c r="AL2" t="b">
        <f t="shared" si="1"/>
        <v>0</v>
      </c>
      <c r="AM2" t="b">
        <f t="shared" si="1"/>
        <v>0</v>
      </c>
      <c r="AN2" t="b">
        <f t="shared" si="1"/>
        <v>0</v>
      </c>
    </row>
    <row r="3" spans="1:40" ht="27" customHeight="1" x14ac:dyDescent="0.25">
      <c r="A3" s="307" t="s">
        <v>250</v>
      </c>
      <c r="B3" s="308"/>
      <c r="C3" s="134"/>
      <c r="D3" s="134"/>
      <c r="E3" s="134"/>
      <c r="F3" s="6"/>
      <c r="G3" s="6"/>
      <c r="H3" s="370"/>
      <c r="I3" s="6"/>
      <c r="J3" s="370"/>
      <c r="K3" s="6"/>
      <c r="M3" s="438" t="s">
        <v>251</v>
      </c>
      <c r="N3" s="439"/>
      <c r="O3" s="311" t="b">
        <v>0</v>
      </c>
      <c r="P3" s="313" t="b">
        <v>0</v>
      </c>
      <c r="Q3" s="314" t="b">
        <v>0</v>
      </c>
      <c r="R3" s="313" t="b">
        <v>0</v>
      </c>
      <c r="S3" s="313" t="b">
        <v>0</v>
      </c>
      <c r="T3" s="313" t="b">
        <v>0</v>
      </c>
      <c r="U3" s="313" t="b">
        <v>0</v>
      </c>
      <c r="V3" s="313" t="b">
        <v>0</v>
      </c>
      <c r="W3" s="315" t="b">
        <v>0</v>
      </c>
    </row>
    <row r="4" spans="1:40" x14ac:dyDescent="0.25">
      <c r="A4" s="1" t="s">
        <v>252</v>
      </c>
      <c r="C4" s="2">
        <f>AF26</f>
        <v>506</v>
      </c>
      <c r="D4" s="2">
        <f>AF26</f>
        <v>506</v>
      </c>
      <c r="E4" s="2">
        <f>IF(ISBLANK(E2),0,IF(E2&lt;6,$AF$28,IF(E2&lt;14,$AF$30,IF(E2&lt;18,$AF$32,IF(E2&lt;25,$AF$34)))))</f>
        <v>0</v>
      </c>
      <c r="F4" s="2">
        <f t="shared" ref="F4:K4" si="2">IF(ISBLANK(F2),0,IF(F2&lt;6,$AF$28,IF(F2&lt;14,$AF$30,IF(F2&lt;18,$AF$32,IF(F2&lt;25,$AF$34)))))</f>
        <v>0</v>
      </c>
      <c r="G4" s="2">
        <f t="shared" si="2"/>
        <v>0</v>
      </c>
      <c r="H4" s="2">
        <f t="shared" si="2"/>
        <v>0</v>
      </c>
      <c r="I4" s="2">
        <f t="shared" si="2"/>
        <v>0</v>
      </c>
      <c r="J4" s="2">
        <f t="shared" si="2"/>
        <v>0</v>
      </c>
      <c r="K4" s="2">
        <f t="shared" si="2"/>
        <v>0</v>
      </c>
      <c r="M4" s="254">
        <v>2026</v>
      </c>
      <c r="O4" s="24" t="b">
        <v>0</v>
      </c>
      <c r="P4" s="110" t="s">
        <v>253</v>
      </c>
      <c r="Q4" s="111"/>
      <c r="AE4" s="391" t="s">
        <v>24</v>
      </c>
      <c r="AF4" s="391"/>
      <c r="AG4" s="391"/>
      <c r="AH4" s="391"/>
    </row>
    <row r="5" spans="1:40" x14ac:dyDescent="0.25">
      <c r="A5" s="1" t="s">
        <v>122</v>
      </c>
      <c r="B5" s="7"/>
      <c r="C5" s="2">
        <f>IF($O4=TRUE,0.023*C4,0)</f>
        <v>0</v>
      </c>
      <c r="D5" s="2">
        <f>IF($O4=TRUE,0.023*D4,0)</f>
        <v>0</v>
      </c>
      <c r="E5" s="2">
        <f>IF($O4=TRUE,VLOOKUP(E2,$O5:$Q30,3,FALSE),0)</f>
        <v>0</v>
      </c>
      <c r="F5" s="2">
        <f t="shared" ref="F5:K5" si="3">IF($O4=TRUE,VLOOKUP(F2,$O5:$Q40,3,FALSE),0)</f>
        <v>0</v>
      </c>
      <c r="G5" s="2">
        <f t="shared" si="3"/>
        <v>0</v>
      </c>
      <c r="H5" s="2">
        <f t="shared" si="3"/>
        <v>0</v>
      </c>
      <c r="I5" s="2">
        <f t="shared" si="3"/>
        <v>0</v>
      </c>
      <c r="J5" s="2">
        <f t="shared" si="3"/>
        <v>0</v>
      </c>
      <c r="K5" s="2">
        <f t="shared" si="3"/>
        <v>0</v>
      </c>
      <c r="M5" s="254">
        <v>2025</v>
      </c>
      <c r="O5">
        <v>0</v>
      </c>
      <c r="P5" s="110">
        <f>AF28</f>
        <v>357</v>
      </c>
      <c r="Q5" s="111">
        <v>0</v>
      </c>
      <c r="AE5" s="103"/>
      <c r="AF5" s="103"/>
      <c r="AG5" s="103"/>
      <c r="AH5" s="103"/>
    </row>
    <row r="6" spans="1:40" x14ac:dyDescent="0.25">
      <c r="A6" s="1" t="s">
        <v>125</v>
      </c>
      <c r="B6" s="10">
        <v>0</v>
      </c>
      <c r="C6" s="2">
        <f t="shared" ref="C6:K6" si="4">IF(C4&gt;0,$B6/$V45,0)</f>
        <v>0</v>
      </c>
      <c r="D6" s="2">
        <f t="shared" si="4"/>
        <v>0</v>
      </c>
      <c r="E6" s="2">
        <f t="shared" si="4"/>
        <v>0</v>
      </c>
      <c r="F6" s="2">
        <f t="shared" si="4"/>
        <v>0</v>
      </c>
      <c r="G6" s="2">
        <f t="shared" si="4"/>
        <v>0</v>
      </c>
      <c r="H6" s="2">
        <f t="shared" si="4"/>
        <v>0</v>
      </c>
      <c r="I6" s="2">
        <f t="shared" si="4"/>
        <v>0</v>
      </c>
      <c r="J6" s="2">
        <f t="shared" si="4"/>
        <v>0</v>
      </c>
      <c r="K6" s="2">
        <f t="shared" si="4"/>
        <v>0</v>
      </c>
      <c r="M6" s="254">
        <v>2024</v>
      </c>
      <c r="P6" s="110"/>
      <c r="Q6" s="111">
        <f t="shared" ref="Q6:Q11" si="5">0.008*P6</f>
        <v>0</v>
      </c>
      <c r="AC6" s="13"/>
      <c r="AE6" s="103"/>
      <c r="AF6" s="103"/>
      <c r="AG6" s="103"/>
      <c r="AH6" s="103"/>
    </row>
    <row r="7" spans="1:40" x14ac:dyDescent="0.25">
      <c r="A7" s="1" t="s">
        <v>126</v>
      </c>
      <c r="B7" s="10">
        <v>0</v>
      </c>
      <c r="C7" s="2">
        <f t="shared" ref="C7:K7" si="6">IF(C4&gt;0,$B7/$V45,0)</f>
        <v>0</v>
      </c>
      <c r="D7" s="2">
        <f t="shared" si="6"/>
        <v>0</v>
      </c>
      <c r="E7" s="2">
        <f t="shared" si="6"/>
        <v>0</v>
      </c>
      <c r="F7" s="2">
        <f t="shared" si="6"/>
        <v>0</v>
      </c>
      <c r="G7" s="2">
        <f t="shared" si="6"/>
        <v>0</v>
      </c>
      <c r="H7" s="2">
        <f t="shared" si="6"/>
        <v>0</v>
      </c>
      <c r="I7" s="2">
        <f t="shared" si="6"/>
        <v>0</v>
      </c>
      <c r="J7" s="2">
        <f t="shared" si="6"/>
        <v>0</v>
      </c>
      <c r="K7" s="2">
        <f t="shared" si="6"/>
        <v>0</v>
      </c>
      <c r="M7" s="254" t="s">
        <v>1</v>
      </c>
      <c r="O7">
        <v>1</v>
      </c>
      <c r="P7" s="377">
        <f>AF28</f>
        <v>357</v>
      </c>
      <c r="Q7" s="111">
        <f t="shared" si="5"/>
        <v>2.8559999999999999</v>
      </c>
      <c r="AE7" s="103"/>
      <c r="AF7" s="103"/>
      <c r="AG7" s="103"/>
      <c r="AH7" s="103"/>
    </row>
    <row r="8" spans="1:40" x14ac:dyDescent="0.25">
      <c r="A8" s="1" t="s">
        <v>127</v>
      </c>
      <c r="B8" s="10">
        <v>0</v>
      </c>
      <c r="C8" s="2">
        <f t="shared" ref="C8:K8" si="7">IF(C4&gt;0,$B8/$V45,0)</f>
        <v>0</v>
      </c>
      <c r="D8" s="2">
        <f t="shared" si="7"/>
        <v>0</v>
      </c>
      <c r="E8" s="2">
        <f t="shared" si="7"/>
        <v>0</v>
      </c>
      <c r="F8" s="2">
        <f t="shared" si="7"/>
        <v>0</v>
      </c>
      <c r="G8" s="2">
        <f t="shared" si="7"/>
        <v>0</v>
      </c>
      <c r="H8" s="2">
        <f t="shared" si="7"/>
        <v>0</v>
      </c>
      <c r="I8" s="2">
        <f t="shared" si="7"/>
        <v>0</v>
      </c>
      <c r="J8" s="2">
        <f t="shared" si="7"/>
        <v>0</v>
      </c>
      <c r="K8" s="2">
        <f t="shared" si="7"/>
        <v>0</v>
      </c>
      <c r="M8" s="372" t="s">
        <v>408</v>
      </c>
      <c r="O8">
        <v>2</v>
      </c>
      <c r="P8" s="377">
        <f>AF28</f>
        <v>357</v>
      </c>
      <c r="Q8" s="111">
        <f t="shared" si="5"/>
        <v>2.8559999999999999</v>
      </c>
      <c r="AE8" s="104"/>
      <c r="AF8" s="103"/>
      <c r="AG8" s="103"/>
      <c r="AH8" s="103"/>
    </row>
    <row r="9" spans="1:40" hidden="1" x14ac:dyDescent="0.25">
      <c r="B9" s="2"/>
      <c r="C9" s="2"/>
      <c r="D9" s="2"/>
      <c r="H9" s="2"/>
      <c r="I9" s="2"/>
      <c r="J9" s="2"/>
      <c r="K9" s="2"/>
      <c r="M9" s="254" t="s">
        <v>5</v>
      </c>
      <c r="O9">
        <v>3</v>
      </c>
      <c r="P9" s="110">
        <f>AF28</f>
        <v>357</v>
      </c>
      <c r="Q9" s="111">
        <f t="shared" si="5"/>
        <v>2.8559999999999999</v>
      </c>
      <c r="AE9" s="156"/>
      <c r="AF9" s="103"/>
      <c r="AG9" s="103"/>
      <c r="AH9" s="103"/>
    </row>
    <row r="10" spans="1:40" ht="26.45" customHeight="1" x14ac:dyDescent="0.25">
      <c r="A10" s="1" t="s">
        <v>254</v>
      </c>
      <c r="C10" s="10">
        <v>0</v>
      </c>
      <c r="D10" s="10">
        <v>0</v>
      </c>
      <c r="E10" s="10">
        <v>0</v>
      </c>
      <c r="F10" s="10">
        <v>0</v>
      </c>
      <c r="G10" s="10">
        <v>0</v>
      </c>
      <c r="H10" s="10">
        <v>0</v>
      </c>
      <c r="I10" s="10">
        <v>0</v>
      </c>
      <c r="J10" s="10">
        <v>0</v>
      </c>
      <c r="K10" s="10">
        <v>0</v>
      </c>
      <c r="M10" s="109">
        <v>2022</v>
      </c>
      <c r="O10">
        <v>4</v>
      </c>
      <c r="P10" s="377">
        <f>AF28</f>
        <v>357</v>
      </c>
      <c r="Q10" s="111">
        <f t="shared" si="5"/>
        <v>2.8559999999999999</v>
      </c>
      <c r="AE10" s="103"/>
      <c r="AF10" s="103"/>
      <c r="AG10" s="103"/>
      <c r="AH10" s="103"/>
    </row>
    <row r="11" spans="1:40" ht="26.45" hidden="1" customHeight="1" x14ac:dyDescent="0.25">
      <c r="C11" s="2"/>
      <c r="D11" s="2"/>
      <c r="H11" s="2"/>
      <c r="I11" s="2"/>
      <c r="J11" s="2"/>
      <c r="K11" s="2"/>
      <c r="M11" s="109">
        <v>2021</v>
      </c>
      <c r="O11">
        <v>5</v>
      </c>
      <c r="P11" s="377">
        <f>AF28</f>
        <v>357</v>
      </c>
      <c r="Q11" s="111">
        <f t="shared" si="5"/>
        <v>2.8559999999999999</v>
      </c>
      <c r="AE11" s="103"/>
      <c r="AF11" s="103"/>
      <c r="AG11" s="103"/>
      <c r="AH11" s="103"/>
    </row>
    <row r="12" spans="1:40" ht="26.45" customHeight="1" x14ac:dyDescent="0.25">
      <c r="A12" s="76" t="s">
        <v>128</v>
      </c>
      <c r="B12" s="64">
        <f>SUM(C12:K12)</f>
        <v>1012</v>
      </c>
      <c r="C12" s="65">
        <f t="shared" ref="C12:K12" si="8">SUM(C4:C11)</f>
        <v>506</v>
      </c>
      <c r="D12" s="65">
        <f t="shared" si="8"/>
        <v>506</v>
      </c>
      <c r="E12" s="65">
        <f t="shared" si="8"/>
        <v>0</v>
      </c>
      <c r="F12" s="65">
        <f t="shared" si="8"/>
        <v>0</v>
      </c>
      <c r="G12" s="65">
        <f t="shared" si="8"/>
        <v>0</v>
      </c>
      <c r="H12" s="65">
        <f t="shared" si="8"/>
        <v>0</v>
      </c>
      <c r="I12" s="65">
        <f t="shared" si="8"/>
        <v>0</v>
      </c>
      <c r="J12" s="65">
        <f t="shared" si="8"/>
        <v>0</v>
      </c>
      <c r="K12" s="65">
        <f t="shared" si="8"/>
        <v>0</v>
      </c>
      <c r="O12">
        <v>6</v>
      </c>
      <c r="P12" s="110">
        <f>AF30</f>
        <v>390</v>
      </c>
      <c r="Q12" s="111">
        <f>0.012*P12</f>
        <v>4.68</v>
      </c>
      <c r="AE12" s="103"/>
      <c r="AF12" s="103"/>
      <c r="AG12" s="103"/>
      <c r="AH12" s="103"/>
    </row>
    <row r="13" spans="1:40" ht="26.45" hidden="1" customHeight="1" x14ac:dyDescent="0.25">
      <c r="C13" s="2"/>
      <c r="D13" s="2"/>
      <c r="H13" s="2"/>
      <c r="I13" s="2"/>
      <c r="J13" s="2"/>
      <c r="K13" s="2"/>
      <c r="O13">
        <v>7</v>
      </c>
      <c r="P13" s="377">
        <f>AF30</f>
        <v>390</v>
      </c>
      <c r="Q13" s="111">
        <f t="shared" ref="Q13:Q19" si="9">0.012*P13</f>
        <v>4.68</v>
      </c>
    </row>
    <row r="14" spans="1:40" hidden="1" x14ac:dyDescent="0.25">
      <c r="C14" s="2"/>
      <c r="D14" s="2"/>
      <c r="H14" s="2"/>
      <c r="I14" s="2"/>
      <c r="J14" s="2"/>
      <c r="K14" s="2"/>
      <c r="O14">
        <v>8</v>
      </c>
      <c r="P14" s="377">
        <f>AF30</f>
        <v>390</v>
      </c>
      <c r="Q14" s="111">
        <f t="shared" si="9"/>
        <v>4.68</v>
      </c>
    </row>
    <row r="15" spans="1:40" hidden="1" x14ac:dyDescent="0.25">
      <c r="C15" s="2" t="s">
        <v>129</v>
      </c>
      <c r="D15" s="2"/>
      <c r="E15" s="11">
        <f t="shared" ref="E15:K15" si="10">IF(AND(E2&gt;0,E2&lt;18), 1,0)</f>
        <v>0</v>
      </c>
      <c r="F15" s="11">
        <f t="shared" si="10"/>
        <v>0</v>
      </c>
      <c r="G15" s="11">
        <f t="shared" si="10"/>
        <v>0</v>
      </c>
      <c r="H15" s="11">
        <f t="shared" si="10"/>
        <v>0</v>
      </c>
      <c r="I15" s="11">
        <f t="shared" si="10"/>
        <v>0</v>
      </c>
      <c r="J15" s="11">
        <f t="shared" si="10"/>
        <v>0</v>
      </c>
      <c r="K15" s="11">
        <f t="shared" si="10"/>
        <v>0</v>
      </c>
      <c r="L15" s="13" t="s">
        <v>133</v>
      </c>
      <c r="O15">
        <v>9</v>
      </c>
      <c r="P15" s="377">
        <f>AF30</f>
        <v>390</v>
      </c>
      <c r="Q15" s="111">
        <f t="shared" si="9"/>
        <v>4.68</v>
      </c>
    </row>
    <row r="16" spans="1:40" hidden="1" x14ac:dyDescent="0.25">
      <c r="C16" s="2" t="s">
        <v>130</v>
      </c>
      <c r="D16" s="2"/>
      <c r="E16" s="12">
        <f>IF(L16&gt;2,L16*0.12,M17)</f>
        <v>0</v>
      </c>
      <c r="H16" s="2"/>
      <c r="I16" s="2"/>
      <c r="J16" s="2"/>
      <c r="K16" s="2"/>
      <c r="L16" s="14">
        <f>SUM(E15:K15)</f>
        <v>0</v>
      </c>
      <c r="O16">
        <v>10</v>
      </c>
      <c r="P16" s="377">
        <f>AF30</f>
        <v>390</v>
      </c>
      <c r="Q16" s="111">
        <f t="shared" si="9"/>
        <v>4.68</v>
      </c>
    </row>
    <row r="17" spans="1:39" hidden="1" x14ac:dyDescent="0.25">
      <c r="C17" s="2" t="s">
        <v>131</v>
      </c>
      <c r="D17" s="2"/>
      <c r="E17">
        <f t="shared" ref="E17:K17" si="11">IF(AND(E2&gt;0,E2&lt;16),100,0)</f>
        <v>0</v>
      </c>
      <c r="F17">
        <f t="shared" si="11"/>
        <v>0</v>
      </c>
      <c r="G17">
        <f t="shared" si="11"/>
        <v>0</v>
      </c>
      <c r="H17">
        <f t="shared" si="11"/>
        <v>0</v>
      </c>
      <c r="I17">
        <f t="shared" si="11"/>
        <v>0</v>
      </c>
      <c r="J17">
        <f t="shared" si="11"/>
        <v>0</v>
      </c>
      <c r="K17">
        <f t="shared" si="11"/>
        <v>0</v>
      </c>
      <c r="L17" s="13">
        <f>IF(OR(E2&lt;7*(AND(E2&gt;0)),F2&lt;7*(AND(F2&gt;0)),G2&lt;7*(AND(G2&gt;0)),H2&lt;7*(AND(H2&gt;0)),I2&lt;7*(AND(I2&gt;0)),J2&lt;7*(AND(J2&gt;0)),K2&lt;7*(AND(K2&gt;0))),36,0)</f>
        <v>0</v>
      </c>
      <c r="O17">
        <v>11</v>
      </c>
      <c r="P17" s="377">
        <f>AF30</f>
        <v>390</v>
      </c>
      <c r="Q17" s="111">
        <f t="shared" si="9"/>
        <v>4.68</v>
      </c>
    </row>
    <row r="18" spans="1:39" hidden="1" x14ac:dyDescent="0.25">
      <c r="C18" s="2" t="s">
        <v>132</v>
      </c>
      <c r="D18" s="2"/>
      <c r="H18" s="2"/>
      <c r="I18" s="2"/>
      <c r="K18" s="2"/>
      <c r="L18" s="13">
        <f>IF(SUM(E17:K17)&gt;100,36,0)</f>
        <v>0</v>
      </c>
      <c r="O18">
        <v>12</v>
      </c>
      <c r="P18" s="377">
        <f>AF30</f>
        <v>390</v>
      </c>
      <c r="Q18" s="111">
        <f t="shared" si="9"/>
        <v>4.68</v>
      </c>
    </row>
    <row r="19" spans="1:39" hidden="1" x14ac:dyDescent="0.25">
      <c r="C19" s="2"/>
      <c r="D19" s="2"/>
      <c r="H19" s="2"/>
      <c r="I19" s="2"/>
      <c r="J19" s="2"/>
      <c r="K19" s="2"/>
      <c r="L19" s="14">
        <f>L16*12</f>
        <v>0</v>
      </c>
      <c r="O19">
        <v>13</v>
      </c>
      <c r="P19" s="377">
        <f>AF30</f>
        <v>390</v>
      </c>
      <c r="Q19" s="111">
        <f t="shared" si="9"/>
        <v>4.68</v>
      </c>
    </row>
    <row r="20" spans="1:39" hidden="1" x14ac:dyDescent="0.25">
      <c r="C20" s="2" t="s">
        <v>134</v>
      </c>
      <c r="D20" s="2"/>
      <c r="E20">
        <f>IF(L19&gt;36,L19,IF(AND(L17=0,L18=0),L19,IF(OR(L17&gt;0,L18&gt;0),36,L19)))</f>
        <v>0</v>
      </c>
      <c r="H20" s="2"/>
      <c r="I20" s="2"/>
      <c r="J20" s="2"/>
      <c r="K20" s="2"/>
      <c r="O20">
        <v>14</v>
      </c>
      <c r="P20" s="110">
        <f>$AF$32</f>
        <v>471</v>
      </c>
      <c r="Q20" s="111">
        <f>0.014*P20</f>
        <v>6.5940000000000003</v>
      </c>
    </row>
    <row r="21" spans="1:39" hidden="1" x14ac:dyDescent="0.25">
      <c r="C21" s="2" t="s">
        <v>135</v>
      </c>
      <c r="D21" s="2"/>
      <c r="E21">
        <f>IF(E20&gt;60,60,E20)</f>
        <v>0</v>
      </c>
      <c r="H21" s="2"/>
      <c r="I21" s="2"/>
      <c r="J21" s="2"/>
      <c r="K21" s="2"/>
      <c r="O21">
        <v>15</v>
      </c>
      <c r="P21" s="110">
        <f>$AF$32</f>
        <v>471</v>
      </c>
      <c r="Q21" s="111">
        <f>0.014*P21</f>
        <v>6.5940000000000003</v>
      </c>
    </row>
    <row r="22" spans="1:39" hidden="1" x14ac:dyDescent="0.25">
      <c r="C22" s="2"/>
      <c r="D22" s="2"/>
      <c r="H22" s="2"/>
      <c r="I22" s="2"/>
      <c r="J22" s="2"/>
      <c r="K22" s="2"/>
      <c r="O22">
        <v>16</v>
      </c>
      <c r="P22" s="110">
        <f>$AF$32</f>
        <v>471</v>
      </c>
      <c r="Q22" s="111">
        <f>0.014*P22</f>
        <v>6.5940000000000003</v>
      </c>
    </row>
    <row r="23" spans="1:39" x14ac:dyDescent="0.25">
      <c r="A23" s="26" t="s">
        <v>255</v>
      </c>
      <c r="C23" s="2"/>
      <c r="D23" s="2"/>
      <c r="O23">
        <v>17</v>
      </c>
      <c r="P23" s="110">
        <f>$AF$32</f>
        <v>471</v>
      </c>
      <c r="Q23" s="111">
        <f>0.014*P23</f>
        <v>6.5940000000000003</v>
      </c>
    </row>
    <row r="24" spans="1:39" hidden="1" x14ac:dyDescent="0.25">
      <c r="A24" s="1" t="s">
        <v>137</v>
      </c>
      <c r="C24" s="2"/>
      <c r="D24" s="2"/>
      <c r="O24">
        <v>18</v>
      </c>
      <c r="P24" s="110">
        <f t="shared" ref="P24:P30" si="12">$AF$34</f>
        <v>451</v>
      </c>
      <c r="Q24" s="111">
        <f t="shared" ref="Q24:Q40" si="13">0.023*P24</f>
        <v>10.372999999999999</v>
      </c>
    </row>
    <row r="25" spans="1:39" x14ac:dyDescent="0.25">
      <c r="A25" s="1" t="s">
        <v>140</v>
      </c>
      <c r="C25" s="10">
        <v>0</v>
      </c>
      <c r="D25" s="10">
        <v>0</v>
      </c>
      <c r="E25" s="10">
        <v>0</v>
      </c>
      <c r="F25" s="10">
        <v>0</v>
      </c>
      <c r="G25" s="10">
        <v>0</v>
      </c>
      <c r="H25" s="10">
        <v>0</v>
      </c>
      <c r="I25" s="10">
        <v>0</v>
      </c>
      <c r="J25" s="10">
        <v>0</v>
      </c>
      <c r="K25" s="10">
        <v>0</v>
      </c>
      <c r="M25" s="13"/>
      <c r="N25" s="13"/>
      <c r="O25">
        <v>19</v>
      </c>
      <c r="P25" s="110">
        <f t="shared" si="12"/>
        <v>451</v>
      </c>
      <c r="Q25" s="111">
        <f t="shared" si="13"/>
        <v>10.372999999999999</v>
      </c>
      <c r="R25" s="13"/>
      <c r="S25" s="13"/>
      <c r="T25" s="13"/>
      <c r="U25" s="13"/>
      <c r="V25" s="13"/>
      <c r="W25" s="13"/>
      <c r="X25" s="13"/>
      <c r="Y25" s="13"/>
      <c r="Z25" s="13"/>
      <c r="AA25" s="13"/>
      <c r="AB25" s="13"/>
      <c r="AC25" s="13"/>
      <c r="AD25" s="13"/>
      <c r="AE25" s="13"/>
      <c r="AF25" t="s">
        <v>440</v>
      </c>
      <c r="AG25" s="112"/>
      <c r="AH25" s="112"/>
      <c r="AI25" s="112"/>
      <c r="AJ25" s="112"/>
      <c r="AK25" s="112"/>
      <c r="AL25" s="112"/>
      <c r="AM25" s="112"/>
    </row>
    <row r="26" spans="1:39" x14ac:dyDescent="0.25">
      <c r="A26" s="1" t="s">
        <v>144</v>
      </c>
      <c r="C26" s="10">
        <v>0</v>
      </c>
      <c r="D26" s="10">
        <v>0</v>
      </c>
      <c r="E26" s="10">
        <v>0</v>
      </c>
      <c r="F26" s="10">
        <v>0</v>
      </c>
      <c r="G26" s="10">
        <v>0</v>
      </c>
      <c r="H26" s="10">
        <v>0</v>
      </c>
      <c r="I26" s="10">
        <v>0</v>
      </c>
      <c r="J26" s="10">
        <v>0</v>
      </c>
      <c r="K26" s="10">
        <v>0</v>
      </c>
      <c r="M26" s="13"/>
      <c r="N26" s="13"/>
      <c r="O26">
        <v>20</v>
      </c>
      <c r="P26" s="110">
        <f t="shared" si="12"/>
        <v>451</v>
      </c>
      <c r="Q26" s="111">
        <f t="shared" si="13"/>
        <v>10.372999999999999</v>
      </c>
      <c r="R26" s="13"/>
      <c r="S26" s="13"/>
      <c r="T26" s="13"/>
      <c r="U26" s="13"/>
      <c r="V26" s="13"/>
      <c r="W26" s="13"/>
      <c r="X26" s="13"/>
      <c r="Y26" s="13"/>
      <c r="Z26" s="13"/>
      <c r="AA26" s="13"/>
      <c r="AB26" s="13"/>
      <c r="AC26" s="13"/>
      <c r="AD26" s="13"/>
      <c r="AE26" s="13"/>
      <c r="AF26">
        <f>VLOOKUP(B1,AG27:AI35,3,FALSE)</f>
        <v>506</v>
      </c>
      <c r="AG26" s="113" t="s">
        <v>143</v>
      </c>
      <c r="AH26" s="112"/>
      <c r="AI26" s="112"/>
      <c r="AJ26" s="112"/>
      <c r="AK26" s="112"/>
      <c r="AL26" s="112"/>
      <c r="AM26" s="112"/>
    </row>
    <row r="27" spans="1:39" ht="30" x14ac:dyDescent="0.25">
      <c r="A27" s="309" t="str">
        <f>IF(M2=FALSE,"Erwerbseinkommen steuerlich privilegiert","steuerlich privilegiertes Eink. ab 7/2023 nicht eintragen!")</f>
        <v>steuerlich privilegiertes Eink. ab 7/2023 nicht eintragen!</v>
      </c>
      <c r="C27" s="10">
        <v>0</v>
      </c>
      <c r="D27" s="10">
        <v>0</v>
      </c>
      <c r="E27" s="10">
        <v>0</v>
      </c>
      <c r="F27" s="10">
        <v>0</v>
      </c>
      <c r="G27" s="10">
        <v>0</v>
      </c>
      <c r="H27" s="10">
        <v>0</v>
      </c>
      <c r="I27" s="10">
        <v>0</v>
      </c>
      <c r="J27" s="10">
        <v>0</v>
      </c>
      <c r="K27" s="10">
        <v>0</v>
      </c>
      <c r="O27">
        <v>21</v>
      </c>
      <c r="P27" s="110">
        <f t="shared" si="12"/>
        <v>451</v>
      </c>
      <c r="Q27" s="111">
        <f t="shared" si="13"/>
        <v>10.372999999999999</v>
      </c>
      <c r="AF27" t="s">
        <v>441</v>
      </c>
      <c r="AG27" s="113">
        <v>2026</v>
      </c>
      <c r="AH27" s="112">
        <v>563</v>
      </c>
      <c r="AI27" s="112">
        <v>506</v>
      </c>
      <c r="AJ27" s="112">
        <v>451</v>
      </c>
      <c r="AK27" s="112">
        <v>471</v>
      </c>
      <c r="AL27" s="112">
        <v>390</v>
      </c>
      <c r="AM27" s="112">
        <v>357</v>
      </c>
    </row>
    <row r="28" spans="1:39" hidden="1" x14ac:dyDescent="0.25">
      <c r="A28" s="1" t="s">
        <v>256</v>
      </c>
      <c r="C28" s="10">
        <f>IF(OR($B1="ab 7/2023",$B1=2024),0,C27)</f>
        <v>0</v>
      </c>
      <c r="D28" s="10">
        <f t="shared" ref="D28:K28" si="14">IF(OR($B1="ab 7/2023",$B1=2024),0,D27)</f>
        <v>0</v>
      </c>
      <c r="E28" s="10">
        <f t="shared" si="14"/>
        <v>0</v>
      </c>
      <c r="F28" s="10">
        <f t="shared" si="14"/>
        <v>0</v>
      </c>
      <c r="G28" s="10">
        <f t="shared" si="14"/>
        <v>0</v>
      </c>
      <c r="H28" s="10">
        <f t="shared" si="14"/>
        <v>0</v>
      </c>
      <c r="I28" s="10">
        <f t="shared" si="14"/>
        <v>0</v>
      </c>
      <c r="J28" s="10">
        <f t="shared" si="14"/>
        <v>0</v>
      </c>
      <c r="K28" s="10">
        <f t="shared" si="14"/>
        <v>0</v>
      </c>
      <c r="O28">
        <v>22</v>
      </c>
      <c r="P28" s="110">
        <f t="shared" si="12"/>
        <v>451</v>
      </c>
      <c r="Q28" s="111">
        <f t="shared" si="13"/>
        <v>10.372999999999999</v>
      </c>
      <c r="AF28" s="377">
        <f>VLOOKUP(B1,AG27:AM35,7,FALSE)</f>
        <v>357</v>
      </c>
      <c r="AG28" s="113">
        <v>2025</v>
      </c>
      <c r="AH28" s="112">
        <v>563</v>
      </c>
      <c r="AI28" s="112">
        <v>506</v>
      </c>
      <c r="AJ28" s="112">
        <v>451</v>
      </c>
      <c r="AK28" s="112">
        <v>471</v>
      </c>
      <c r="AL28" s="112">
        <v>390</v>
      </c>
      <c r="AM28" s="112">
        <v>357</v>
      </c>
    </row>
    <row r="29" spans="1:39" hidden="1" x14ac:dyDescent="0.25">
      <c r="C29" s="10"/>
      <c r="D29" s="10"/>
      <c r="E29" s="10"/>
      <c r="F29" s="10"/>
      <c r="G29" s="10"/>
      <c r="H29" s="10"/>
      <c r="I29" s="10"/>
      <c r="J29" s="10"/>
      <c r="K29" s="10"/>
      <c r="O29">
        <v>23</v>
      </c>
      <c r="P29" s="110">
        <f t="shared" si="12"/>
        <v>451</v>
      </c>
      <c r="Q29" s="111">
        <f t="shared" si="13"/>
        <v>10.372999999999999</v>
      </c>
      <c r="AF29" t="s">
        <v>442</v>
      </c>
      <c r="AG29" s="113">
        <v>2024</v>
      </c>
      <c r="AH29" s="112">
        <v>563</v>
      </c>
      <c r="AI29" s="112">
        <v>506</v>
      </c>
      <c r="AJ29" s="112">
        <v>451</v>
      </c>
      <c r="AK29" s="112">
        <v>471</v>
      </c>
      <c r="AL29" s="112">
        <v>390</v>
      </c>
      <c r="AM29" s="112">
        <v>357</v>
      </c>
    </row>
    <row r="30" spans="1:39" hidden="1" x14ac:dyDescent="0.25">
      <c r="C30" s="10"/>
      <c r="D30" s="10"/>
      <c r="E30" s="10"/>
      <c r="F30" s="10"/>
      <c r="G30" s="10"/>
      <c r="H30" s="10"/>
      <c r="I30" s="10"/>
      <c r="J30" s="10"/>
      <c r="K30" s="10"/>
      <c r="O30">
        <v>24</v>
      </c>
      <c r="P30" s="110">
        <f t="shared" si="12"/>
        <v>451</v>
      </c>
      <c r="Q30" s="111">
        <f t="shared" si="13"/>
        <v>10.372999999999999</v>
      </c>
      <c r="AF30" s="377">
        <f>VLOOKUP(B1,AG27:AM35,6,FALSE)</f>
        <v>390</v>
      </c>
      <c r="AG30" s="13" t="s">
        <v>1</v>
      </c>
      <c r="AH30">
        <v>502</v>
      </c>
      <c r="AI30">
        <v>451</v>
      </c>
      <c r="AJ30">
        <v>402</v>
      </c>
      <c r="AK30">
        <v>420</v>
      </c>
      <c r="AL30">
        <v>348</v>
      </c>
      <c r="AM30">
        <v>318</v>
      </c>
    </row>
    <row r="31" spans="1:39" hidden="1" x14ac:dyDescent="0.25">
      <c r="C31" s="10"/>
      <c r="D31" s="10"/>
      <c r="E31" s="10"/>
      <c r="F31" s="10"/>
      <c r="G31" s="10"/>
      <c r="H31" s="10"/>
      <c r="I31" s="10"/>
      <c r="J31" s="10"/>
      <c r="K31" s="10"/>
      <c r="AF31" t="s">
        <v>443</v>
      </c>
      <c r="AG31" s="13" t="s">
        <v>408</v>
      </c>
      <c r="AH31">
        <v>502</v>
      </c>
      <c r="AI31">
        <v>451</v>
      </c>
      <c r="AJ31">
        <v>402</v>
      </c>
      <c r="AK31">
        <v>420</v>
      </c>
      <c r="AL31">
        <v>348</v>
      </c>
      <c r="AM31">
        <v>318</v>
      </c>
    </row>
    <row r="32" spans="1:39" x14ac:dyDescent="0.25">
      <c r="A32" s="1" t="s">
        <v>27</v>
      </c>
      <c r="C32" s="163">
        <f>C28+C26</f>
        <v>0</v>
      </c>
      <c r="D32" s="163">
        <f t="shared" ref="D32:K32" si="15">D28+D26</f>
        <v>0</v>
      </c>
      <c r="E32" s="163">
        <f t="shared" si="15"/>
        <v>0</v>
      </c>
      <c r="F32" s="163">
        <f t="shared" si="15"/>
        <v>0</v>
      </c>
      <c r="G32" s="163">
        <f t="shared" si="15"/>
        <v>0</v>
      </c>
      <c r="H32" s="163">
        <f t="shared" si="15"/>
        <v>0</v>
      </c>
      <c r="I32" s="163">
        <f t="shared" si="15"/>
        <v>0</v>
      </c>
      <c r="J32" s="163">
        <f t="shared" si="15"/>
        <v>0</v>
      </c>
      <c r="K32" s="163">
        <f t="shared" si="15"/>
        <v>0</v>
      </c>
      <c r="L32" s="440" t="s">
        <v>257</v>
      </c>
      <c r="M32" s="440"/>
      <c r="N32" s="440"/>
      <c r="AF32" s="377">
        <f>VLOOKUP(B1,AG27:AM35,5,FALSE)</f>
        <v>471</v>
      </c>
      <c r="AG32" s="13" t="s">
        <v>5</v>
      </c>
      <c r="AH32">
        <v>449</v>
      </c>
      <c r="AI32">
        <v>404</v>
      </c>
      <c r="AJ32">
        <v>360</v>
      </c>
      <c r="AK32">
        <v>376</v>
      </c>
      <c r="AL32">
        <v>311</v>
      </c>
      <c r="AM32">
        <v>285</v>
      </c>
    </row>
    <row r="33" spans="1:39" x14ac:dyDescent="0.25">
      <c r="A33" s="1" t="s">
        <v>100</v>
      </c>
      <c r="C33" s="163">
        <f>IF(AND($M2=TRUE,O3=TRUE),S58,IF(L33&gt;C25+C28,C25+C28,L33))</f>
        <v>0</v>
      </c>
      <c r="D33" s="163">
        <f t="shared" ref="D33:K33" si="16">IF(AND($M2=TRUE,P3=TRUE),T58,IF(M33&gt;D25+D27,D25+D27,M33))</f>
        <v>0</v>
      </c>
      <c r="E33" s="163">
        <f t="shared" si="16"/>
        <v>0</v>
      </c>
      <c r="F33" s="163">
        <f t="shared" si="16"/>
        <v>0</v>
      </c>
      <c r="G33" s="163">
        <f t="shared" si="16"/>
        <v>0</v>
      </c>
      <c r="H33" s="163">
        <f t="shared" si="16"/>
        <v>0</v>
      </c>
      <c r="I33" s="163">
        <f t="shared" si="16"/>
        <v>0</v>
      </c>
      <c r="J33" s="163">
        <f t="shared" si="16"/>
        <v>0</v>
      </c>
      <c r="K33" s="163">
        <f t="shared" si="16"/>
        <v>0</v>
      </c>
      <c r="L33" s="13">
        <f>IF(C28&gt;0,IF(C28+100&lt;250,C28+100,250),100)</f>
        <v>100</v>
      </c>
      <c r="M33" s="13">
        <f t="shared" ref="M33:T33" si="17">IF(D28&gt;0,IF(D28+100&lt;250,D28+100,250),100)</f>
        <v>100</v>
      </c>
      <c r="N33" s="13">
        <f t="shared" si="17"/>
        <v>100</v>
      </c>
      <c r="O33" s="13">
        <f t="shared" si="17"/>
        <v>100</v>
      </c>
      <c r="P33" s="13">
        <f t="shared" si="17"/>
        <v>100</v>
      </c>
      <c r="Q33" s="13">
        <f t="shared" si="17"/>
        <v>100</v>
      </c>
      <c r="R33" s="13">
        <f t="shared" si="17"/>
        <v>100</v>
      </c>
      <c r="S33" s="13">
        <f t="shared" si="17"/>
        <v>100</v>
      </c>
      <c r="T33" s="13">
        <f t="shared" si="17"/>
        <v>100</v>
      </c>
      <c r="AF33" t="s">
        <v>444</v>
      </c>
      <c r="AG33">
        <v>2022</v>
      </c>
      <c r="AH33">
        <v>449</v>
      </c>
      <c r="AI33">
        <v>404</v>
      </c>
      <c r="AJ33">
        <v>360</v>
      </c>
      <c r="AK33">
        <v>376</v>
      </c>
      <c r="AL33">
        <v>311</v>
      </c>
      <c r="AM33">
        <v>285</v>
      </c>
    </row>
    <row r="34" spans="1:39" x14ac:dyDescent="0.25">
      <c r="A34" s="1" t="s">
        <v>146</v>
      </c>
      <c r="C34" s="163">
        <f t="shared" ref="C34:K34" si="18">IF(AND($M2=TRUE,O3=TRUE,AF2=TRUE),S61,IF(AND($M2=TRUE,O3=TRUE),S60,IF(AND($M2=TRUE,O3=FALSE),S53+S56, S53)))</f>
        <v>0</v>
      </c>
      <c r="D34" s="163">
        <f t="shared" si="18"/>
        <v>0</v>
      </c>
      <c r="E34" s="163">
        <f t="shared" si="18"/>
        <v>0</v>
      </c>
      <c r="F34" s="163">
        <f t="shared" si="18"/>
        <v>0</v>
      </c>
      <c r="G34" s="163">
        <f t="shared" si="18"/>
        <v>0</v>
      </c>
      <c r="H34" s="163">
        <f t="shared" si="18"/>
        <v>0</v>
      </c>
      <c r="I34" s="163">
        <f t="shared" si="18"/>
        <v>0</v>
      </c>
      <c r="J34" s="163">
        <f t="shared" si="18"/>
        <v>0</v>
      </c>
      <c r="K34" s="163">
        <f t="shared" si="18"/>
        <v>0</v>
      </c>
      <c r="O34">
        <v>22</v>
      </c>
      <c r="P34">
        <v>357</v>
      </c>
      <c r="Q34" s="2">
        <f t="shared" si="13"/>
        <v>8.2110000000000003</v>
      </c>
      <c r="S34" s="16">
        <f>SUM(S48:S52)</f>
        <v>0</v>
      </c>
      <c r="AF34" s="377">
        <f>VLOOKUP(B1,AG27:AM35,4,FALSE)</f>
        <v>451</v>
      </c>
      <c r="AG34" s="112">
        <v>2021</v>
      </c>
      <c r="AH34" s="112">
        <v>446</v>
      </c>
      <c r="AI34" s="112">
        <v>401</v>
      </c>
      <c r="AJ34" s="112">
        <v>357</v>
      </c>
      <c r="AK34" s="112">
        <v>373</v>
      </c>
      <c r="AL34" s="112">
        <v>309</v>
      </c>
      <c r="AM34" s="112">
        <v>283</v>
      </c>
    </row>
    <row r="35" spans="1:39" ht="33.75" customHeight="1" x14ac:dyDescent="0.25">
      <c r="A35" s="57" t="s">
        <v>28</v>
      </c>
      <c r="C35" s="10"/>
      <c r="D35" s="10"/>
      <c r="E35" s="10">
        <v>0</v>
      </c>
      <c r="F35" s="10">
        <v>0</v>
      </c>
      <c r="G35" s="10">
        <v>0</v>
      </c>
      <c r="H35" s="10">
        <v>0</v>
      </c>
      <c r="I35" s="10">
        <v>0</v>
      </c>
      <c r="J35" s="10">
        <v>0</v>
      </c>
      <c r="K35" s="10">
        <v>0</v>
      </c>
      <c r="S35" s="16"/>
      <c r="AG35" s="112">
        <v>2020</v>
      </c>
      <c r="AH35" s="112">
        <v>432</v>
      </c>
      <c r="AI35" s="112">
        <v>389</v>
      </c>
      <c r="AJ35" s="112">
        <v>345</v>
      </c>
      <c r="AK35" s="112">
        <v>328</v>
      </c>
      <c r="AL35" s="112">
        <v>308</v>
      </c>
      <c r="AM35" s="112">
        <v>250</v>
      </c>
    </row>
    <row r="36" spans="1:39" ht="28.5" customHeight="1" x14ac:dyDescent="0.25">
      <c r="A36" s="66" t="s">
        <v>30</v>
      </c>
      <c r="B36" s="67"/>
      <c r="C36" s="68">
        <f>IF(C32-C33-C34-C35&gt;0,C32-C33-C34-C35,0)</f>
        <v>0</v>
      </c>
      <c r="D36" s="68">
        <f t="shared" ref="D36:K36" si="19">IF(D32-D33-D34-D35&gt;0,D32-D33-D34-D35,0)</f>
        <v>0</v>
      </c>
      <c r="E36" s="68">
        <f>IF(E32-E33-E34-E35&gt;0,E32-E33-E34-E35,0)</f>
        <v>0</v>
      </c>
      <c r="F36" s="68">
        <f t="shared" si="19"/>
        <v>0</v>
      </c>
      <c r="G36" s="68">
        <f t="shared" si="19"/>
        <v>0</v>
      </c>
      <c r="H36" s="68">
        <f t="shared" si="19"/>
        <v>0</v>
      </c>
      <c r="I36" s="68">
        <f t="shared" si="19"/>
        <v>0</v>
      </c>
      <c r="J36" s="68">
        <f t="shared" si="19"/>
        <v>0</v>
      </c>
      <c r="K36" s="68">
        <f t="shared" si="19"/>
        <v>0</v>
      </c>
      <c r="O36">
        <v>23</v>
      </c>
      <c r="P36">
        <v>357</v>
      </c>
      <c r="Q36" s="2">
        <f t="shared" si="13"/>
        <v>8.2110000000000003</v>
      </c>
      <c r="AG36" s="2"/>
      <c r="AH36" s="2"/>
      <c r="AI36" s="2"/>
      <c r="AJ36" s="2"/>
      <c r="AK36" s="2"/>
      <c r="AL36" s="2"/>
      <c r="AM36" s="2"/>
    </row>
    <row r="37" spans="1:39" ht="21" customHeight="1" x14ac:dyDescent="0.25">
      <c r="A37" s="1" t="s">
        <v>148</v>
      </c>
      <c r="C37" s="10">
        <v>0</v>
      </c>
      <c r="D37" s="10">
        <v>0</v>
      </c>
      <c r="E37" s="10">
        <v>0</v>
      </c>
      <c r="F37" s="10">
        <v>0</v>
      </c>
      <c r="G37" s="10">
        <v>0</v>
      </c>
      <c r="H37" s="10">
        <v>0</v>
      </c>
      <c r="I37" s="10">
        <v>0</v>
      </c>
      <c r="J37" s="10">
        <v>0</v>
      </c>
      <c r="K37" s="10">
        <v>0</v>
      </c>
      <c r="L37" s="69"/>
      <c r="AG37" s="2"/>
      <c r="AH37" s="2"/>
      <c r="AI37" s="2"/>
      <c r="AJ37" s="2"/>
      <c r="AK37" s="2"/>
      <c r="AL37" s="2"/>
      <c r="AM37" s="2"/>
    </row>
    <row r="38" spans="1:39" ht="19.5" customHeight="1" x14ac:dyDescent="0.25">
      <c r="A38" s="1" t="s">
        <v>150</v>
      </c>
      <c r="C38" s="10">
        <v>0</v>
      </c>
      <c r="D38" s="10">
        <v>0</v>
      </c>
      <c r="E38" s="10">
        <v>0</v>
      </c>
      <c r="F38" s="10">
        <v>0</v>
      </c>
      <c r="G38" s="10">
        <v>0</v>
      </c>
      <c r="H38" s="10">
        <v>0</v>
      </c>
      <c r="I38" s="10">
        <v>0</v>
      </c>
      <c r="J38" s="10">
        <v>0</v>
      </c>
      <c r="K38" s="10">
        <v>0</v>
      </c>
      <c r="AG38" s="2"/>
      <c r="AH38" s="2"/>
      <c r="AI38" s="2"/>
      <c r="AJ38" s="2"/>
      <c r="AK38" s="2"/>
      <c r="AL38" s="2"/>
      <c r="AM38" s="2"/>
    </row>
    <row r="39" spans="1:39" ht="19.5" hidden="1" customHeight="1" x14ac:dyDescent="0.25">
      <c r="A39" s="1" t="s">
        <v>150</v>
      </c>
      <c r="C39" s="9"/>
      <c r="D39" s="9"/>
      <c r="E39" s="17">
        <f t="shared" ref="E39:K39" si="20">IF(E38&gt;0,E38,0)</f>
        <v>0</v>
      </c>
      <c r="F39" s="17">
        <f t="shared" si="20"/>
        <v>0</v>
      </c>
      <c r="G39" s="17">
        <f t="shared" si="20"/>
        <v>0</v>
      </c>
      <c r="H39" s="17">
        <f t="shared" si="20"/>
        <v>0</v>
      </c>
      <c r="I39" s="17">
        <f t="shared" si="20"/>
        <v>0</v>
      </c>
      <c r="J39" s="17">
        <f t="shared" si="20"/>
        <v>0</v>
      </c>
      <c r="K39" s="17">
        <f t="shared" si="20"/>
        <v>0</v>
      </c>
    </row>
    <row r="40" spans="1:39" hidden="1" x14ac:dyDescent="0.25">
      <c r="A40" s="1" t="s">
        <v>151</v>
      </c>
      <c r="C40" s="18"/>
      <c r="D40" s="18"/>
      <c r="E40" s="18">
        <f>IF(E2&gt;=1,IF(E50&lt;=E12,0,IF(AND(E50&gt;E12,E50-E12&lt;E38),E50-E12,E38)),0)</f>
        <v>0</v>
      </c>
      <c r="F40" s="18">
        <f t="shared" ref="F40:K40" si="21">IF(F2&gt;=1,IF(F50&lt;F12,0,IF(AND(F50&gt;F12,F50-F12&lt;F38),F50-F12,F38)),0)</f>
        <v>0</v>
      </c>
      <c r="G40" s="18">
        <f t="shared" si="21"/>
        <v>0</v>
      </c>
      <c r="H40" s="18">
        <f t="shared" si="21"/>
        <v>0</v>
      </c>
      <c r="I40" s="18">
        <f t="shared" si="21"/>
        <v>0</v>
      </c>
      <c r="J40" s="18">
        <f t="shared" si="21"/>
        <v>0</v>
      </c>
      <c r="K40" s="18">
        <f t="shared" si="21"/>
        <v>0</v>
      </c>
      <c r="O40">
        <v>24</v>
      </c>
      <c r="P40">
        <v>357</v>
      </c>
      <c r="Q40" s="2">
        <f t="shared" si="13"/>
        <v>8.2110000000000003</v>
      </c>
    </row>
    <row r="41" spans="1:39" ht="20.25" customHeight="1" x14ac:dyDescent="0.25">
      <c r="A41" s="57" t="s">
        <v>151</v>
      </c>
      <c r="C41" s="19">
        <f>E40+F40+G40+H40+I40+J40+K40</f>
        <v>0</v>
      </c>
      <c r="D41" s="19"/>
      <c r="E41" s="18">
        <f t="shared" ref="E41:K41" si="22">E39-E40</f>
        <v>0</v>
      </c>
      <c r="F41" s="18">
        <f t="shared" si="22"/>
        <v>0</v>
      </c>
      <c r="G41" s="18">
        <f t="shared" si="22"/>
        <v>0</v>
      </c>
      <c r="H41" s="18">
        <f t="shared" si="22"/>
        <v>0</v>
      </c>
      <c r="I41" s="18">
        <f t="shared" si="22"/>
        <v>0</v>
      </c>
      <c r="J41" s="18">
        <f t="shared" si="22"/>
        <v>0</v>
      </c>
      <c r="K41" s="18">
        <f t="shared" si="22"/>
        <v>0</v>
      </c>
      <c r="L41"/>
      <c r="M41" t="s">
        <v>258</v>
      </c>
      <c r="O41">
        <f>IF(C4&gt;0,1,0)</f>
        <v>1</v>
      </c>
      <c r="P41">
        <f t="shared" ref="P41:W41" si="23">IF(D4&gt;0,1,0)</f>
        <v>1</v>
      </c>
      <c r="Q41">
        <f t="shared" si="23"/>
        <v>0</v>
      </c>
      <c r="R41">
        <f t="shared" si="23"/>
        <v>0</v>
      </c>
      <c r="S41">
        <f t="shared" si="23"/>
        <v>0</v>
      </c>
      <c r="T41">
        <f t="shared" si="23"/>
        <v>0</v>
      </c>
      <c r="U41">
        <f t="shared" si="23"/>
        <v>0</v>
      </c>
      <c r="V41">
        <f t="shared" si="23"/>
        <v>0</v>
      </c>
      <c r="W41">
        <f t="shared" si="23"/>
        <v>0</v>
      </c>
      <c r="X41" s="93">
        <f>SUM(O41:W41)</f>
        <v>2</v>
      </c>
      <c r="AF41" s="2"/>
    </row>
    <row r="42" spans="1:39" x14ac:dyDescent="0.25">
      <c r="A42" s="31" t="s">
        <v>152</v>
      </c>
      <c r="B42" s="2"/>
      <c r="C42" s="10">
        <v>0</v>
      </c>
      <c r="D42" s="10">
        <v>0</v>
      </c>
      <c r="E42" s="10">
        <v>0</v>
      </c>
      <c r="F42" s="10">
        <v>0</v>
      </c>
      <c r="G42" s="10">
        <v>0</v>
      </c>
      <c r="H42" s="10">
        <v>0</v>
      </c>
      <c r="I42" s="10">
        <v>0</v>
      </c>
      <c r="J42" s="10">
        <v>0</v>
      </c>
      <c r="K42" s="10">
        <v>0</v>
      </c>
      <c r="L42"/>
      <c r="AF42" s="2"/>
    </row>
    <row r="43" spans="1:39" s="2" customFormat="1" x14ac:dyDescent="0.25">
      <c r="A43" s="31" t="s">
        <v>153</v>
      </c>
      <c r="C43" s="10">
        <v>0</v>
      </c>
      <c r="D43" s="10">
        <v>0</v>
      </c>
      <c r="E43" s="10">
        <v>0</v>
      </c>
      <c r="F43" s="10">
        <v>0</v>
      </c>
      <c r="G43" s="10">
        <v>0</v>
      </c>
      <c r="H43" s="10">
        <v>0</v>
      </c>
      <c r="I43" s="10">
        <v>0</v>
      </c>
      <c r="J43" s="10">
        <v>0</v>
      </c>
      <c r="K43" s="10">
        <v>0</v>
      </c>
      <c r="L43"/>
      <c r="M43" s="2" t="s">
        <v>259</v>
      </c>
      <c r="O43" s="44">
        <f>IF(E38&gt;0,1,0)</f>
        <v>0</v>
      </c>
      <c r="P43" s="44">
        <f t="shared" ref="P43:U43" si="24">IF(F38&gt;0,1,0)</f>
        <v>0</v>
      </c>
      <c r="Q43" s="44">
        <f t="shared" si="24"/>
        <v>0</v>
      </c>
      <c r="R43" s="44">
        <f t="shared" si="24"/>
        <v>0</v>
      </c>
      <c r="S43" s="44">
        <f t="shared" si="24"/>
        <v>0</v>
      </c>
      <c r="T43" s="44">
        <f t="shared" si="24"/>
        <v>0</v>
      </c>
      <c r="U43" s="44">
        <f t="shared" si="24"/>
        <v>0</v>
      </c>
      <c r="V43" s="44">
        <f>SUM(O43:U43)</f>
        <v>0</v>
      </c>
      <c r="AG43"/>
      <c r="AH43"/>
      <c r="AI43"/>
      <c r="AJ43"/>
      <c r="AK43"/>
      <c r="AL43"/>
      <c r="AM43"/>
    </row>
    <row r="44" spans="1:39" s="2" customFormat="1" x14ac:dyDescent="0.25">
      <c r="A44" s="31" t="s">
        <v>154</v>
      </c>
      <c r="C44" s="10">
        <v>0</v>
      </c>
      <c r="D44" s="10">
        <v>0</v>
      </c>
      <c r="E44" s="10">
        <v>0</v>
      </c>
      <c r="F44" s="10">
        <v>0</v>
      </c>
      <c r="G44" s="10">
        <v>0</v>
      </c>
      <c r="H44" s="10">
        <v>0</v>
      </c>
      <c r="I44" s="10">
        <v>0</v>
      </c>
      <c r="J44" s="10">
        <v>0</v>
      </c>
      <c r="K44" s="10">
        <v>0</v>
      </c>
      <c r="L44"/>
      <c r="N44" s="2" t="s">
        <v>158</v>
      </c>
      <c r="AG44"/>
      <c r="AH44"/>
      <c r="AI44"/>
      <c r="AJ44"/>
      <c r="AK44"/>
      <c r="AL44"/>
      <c r="AM44"/>
    </row>
    <row r="45" spans="1:39" s="2" customFormat="1" x14ac:dyDescent="0.25">
      <c r="A45" s="114" t="s">
        <v>407</v>
      </c>
      <c r="C45" s="10">
        <v>0</v>
      </c>
      <c r="D45" s="10">
        <v>0</v>
      </c>
      <c r="E45" s="10">
        <v>0</v>
      </c>
      <c r="F45" s="10">
        <v>0</v>
      </c>
      <c r="G45" s="10">
        <v>0</v>
      </c>
      <c r="H45" s="10">
        <v>0</v>
      </c>
      <c r="I45" s="10">
        <v>0</v>
      </c>
      <c r="J45" s="10">
        <v>0</v>
      </c>
      <c r="K45" s="10">
        <v>0</v>
      </c>
      <c r="L45"/>
      <c r="M45" s="44">
        <f>IF(E4&gt;0,1,0)</f>
        <v>0</v>
      </c>
      <c r="N45" s="44">
        <f t="shared" ref="N45:S45" si="25">IF(F4&gt;0,1,0)</f>
        <v>0</v>
      </c>
      <c r="O45" s="44">
        <f t="shared" si="25"/>
        <v>0</v>
      </c>
      <c r="P45" s="44">
        <f t="shared" si="25"/>
        <v>0</v>
      </c>
      <c r="Q45" s="44">
        <f t="shared" si="25"/>
        <v>0</v>
      </c>
      <c r="R45" s="44">
        <f t="shared" si="25"/>
        <v>0</v>
      </c>
      <c r="S45" s="44">
        <f t="shared" si="25"/>
        <v>0</v>
      </c>
      <c r="T45" s="44">
        <v>0</v>
      </c>
      <c r="U45" s="44">
        <v>0</v>
      </c>
      <c r="V45" s="44">
        <f>SUM(M45:U45)+2</f>
        <v>2</v>
      </c>
      <c r="AG45"/>
      <c r="AH45"/>
      <c r="AI45"/>
      <c r="AJ45"/>
      <c r="AK45"/>
      <c r="AL45"/>
      <c r="AM45"/>
    </row>
    <row r="46" spans="1:39" s="2" customFormat="1" x14ac:dyDescent="0.25">
      <c r="A46" s="160" t="s">
        <v>409</v>
      </c>
      <c r="B46" s="161"/>
      <c r="C46" s="162">
        <f>IF(L54=TRUE,D70,0)</f>
        <v>0</v>
      </c>
      <c r="D46" s="161"/>
      <c r="E46" s="161"/>
      <c r="F46" s="161"/>
      <c r="G46" s="161"/>
      <c r="H46" s="161"/>
      <c r="I46" s="161"/>
      <c r="J46" s="161"/>
      <c r="K46" s="161"/>
      <c r="L46"/>
      <c r="M46" s="44">
        <f t="shared" ref="M46:V46" si="26">IF(AND(E2&gt;=1,E2&lt;18),M45,0)</f>
        <v>0</v>
      </c>
      <c r="N46" s="44">
        <f t="shared" si="26"/>
        <v>0</v>
      </c>
      <c r="O46" s="44">
        <f t="shared" si="26"/>
        <v>0</v>
      </c>
      <c r="P46" s="44">
        <f t="shared" si="26"/>
        <v>0</v>
      </c>
      <c r="Q46" s="44">
        <f t="shared" si="26"/>
        <v>0</v>
      </c>
      <c r="R46" s="44">
        <f t="shared" si="26"/>
        <v>0</v>
      </c>
      <c r="S46" s="44">
        <f t="shared" si="26"/>
        <v>0</v>
      </c>
      <c r="T46" s="44">
        <f t="shared" si="26"/>
        <v>0</v>
      </c>
      <c r="U46" s="44">
        <f t="shared" si="26"/>
        <v>0</v>
      </c>
      <c r="V46" s="44">
        <f t="shared" si="26"/>
        <v>0</v>
      </c>
      <c r="AF46"/>
      <c r="AG46"/>
      <c r="AH46"/>
      <c r="AI46"/>
      <c r="AJ46"/>
      <c r="AK46"/>
      <c r="AL46"/>
      <c r="AM46"/>
    </row>
    <row r="47" spans="1:39" s="2" customFormat="1" ht="33.75" customHeight="1" x14ac:dyDescent="0.25">
      <c r="A47" s="1" t="s">
        <v>260</v>
      </c>
      <c r="B47"/>
      <c r="C47" s="159">
        <f>IF(OR(C33&gt;=30,C2&lt;18),0,IF(C33-30&lt;30,30-C33,0))</f>
        <v>30</v>
      </c>
      <c r="D47" s="159">
        <f>IF(L54=TRUE,0,IF(OR(D33&gt;=30,D2&lt;18),0,IF(D33-30&lt;30,30-D33,0)))</f>
        <v>30</v>
      </c>
      <c r="E47" s="159">
        <f t="shared" ref="E47:K47" si="27">IF(OR(E33&gt;=30,E2&lt;18),0,IF(E33-30&lt;30,30-E33,0))</f>
        <v>0</v>
      </c>
      <c r="F47" s="159">
        <f t="shared" si="27"/>
        <v>0</v>
      </c>
      <c r="G47" s="159">
        <f t="shared" si="27"/>
        <v>0</v>
      </c>
      <c r="H47" s="159">
        <f t="shared" si="27"/>
        <v>0</v>
      </c>
      <c r="I47" s="159">
        <f t="shared" si="27"/>
        <v>0</v>
      </c>
      <c r="J47" s="159">
        <f t="shared" si="27"/>
        <v>0</v>
      </c>
      <c r="K47" s="159">
        <f t="shared" si="27"/>
        <v>0</v>
      </c>
      <c r="L47"/>
      <c r="M47" s="44">
        <f>IF(OR(,M46&gt;0,N46&gt;0,O46&gt;0,P46&gt;0,Q46&gt;0,R46&gt;0,S46&gt;0,T46&gt;0,P1=TRUE),1,0)</f>
        <v>0</v>
      </c>
      <c r="N47" s="44">
        <f>IF(OR(M46,N46&gt;0,O46&gt;0,P46&gt;0,Q46&gt;0,R46&gt;0,S46&gt;0,T46&gt;0,U46&gt;0,Q1=TRUE),1,0)</f>
        <v>0</v>
      </c>
      <c r="O47" s="44"/>
      <c r="P47" s="44"/>
      <c r="Q47" s="44"/>
      <c r="R47" s="44"/>
      <c r="S47" s="44"/>
      <c r="T47" s="44"/>
      <c r="U47" s="44"/>
      <c r="V47" s="44"/>
      <c r="AB47" s="32"/>
      <c r="AF47"/>
      <c r="AG47"/>
      <c r="AH47"/>
      <c r="AI47"/>
      <c r="AJ47"/>
      <c r="AK47"/>
      <c r="AL47"/>
      <c r="AM47"/>
    </row>
    <row r="48" spans="1:39" ht="33" customHeight="1" x14ac:dyDescent="0.25">
      <c r="A48" s="57" t="s">
        <v>157</v>
      </c>
      <c r="C48" s="10">
        <v>0</v>
      </c>
      <c r="D48" s="10">
        <v>0</v>
      </c>
      <c r="E48" s="10">
        <v>0</v>
      </c>
      <c r="F48" s="10">
        <v>0</v>
      </c>
      <c r="G48" s="10">
        <v>0</v>
      </c>
      <c r="H48" s="10">
        <v>0</v>
      </c>
      <c r="I48" s="10">
        <v>0</v>
      </c>
      <c r="J48" s="10">
        <v>0</v>
      </c>
      <c r="K48" s="10">
        <v>0</v>
      </c>
      <c r="M48" s="435" t="s">
        <v>221</v>
      </c>
      <c r="N48" s="436"/>
      <c r="O48" s="436"/>
      <c r="P48" s="436"/>
      <c r="Q48" s="436"/>
      <c r="R48" s="437"/>
      <c r="S48" s="327">
        <f>IF(C25+C28-100&lt;0,C25+C28,100)</f>
        <v>0</v>
      </c>
      <c r="T48" s="327">
        <f t="shared" ref="T48:AA48" si="28">IF(D25+D28-100&lt;0,D25+D28,100)</f>
        <v>0</v>
      </c>
      <c r="U48" s="327">
        <f t="shared" si="28"/>
        <v>0</v>
      </c>
      <c r="V48" s="327">
        <f t="shared" si="28"/>
        <v>0</v>
      </c>
      <c r="W48" s="327">
        <f t="shared" si="28"/>
        <v>0</v>
      </c>
      <c r="X48" s="327">
        <f t="shared" si="28"/>
        <v>0</v>
      </c>
      <c r="Y48" s="327">
        <f t="shared" si="28"/>
        <v>0</v>
      </c>
      <c r="Z48" s="327">
        <f t="shared" si="28"/>
        <v>0</v>
      </c>
      <c r="AA48" s="327">
        <f t="shared" si="28"/>
        <v>0</v>
      </c>
      <c r="AB48" s="330"/>
    </row>
    <row r="49" spans="1:71" x14ac:dyDescent="0.25">
      <c r="A49" s="1" t="s">
        <v>159</v>
      </c>
      <c r="C49" s="33">
        <v>0</v>
      </c>
      <c r="D49" s="33">
        <v>0</v>
      </c>
      <c r="E49" s="30"/>
      <c r="F49" s="30"/>
      <c r="G49" s="30"/>
      <c r="H49" s="30"/>
      <c r="I49" s="30"/>
      <c r="J49" s="30"/>
      <c r="K49" s="30"/>
      <c r="M49" s="435" t="s">
        <v>165</v>
      </c>
      <c r="N49" s="436"/>
      <c r="O49" s="436"/>
      <c r="P49" s="436"/>
      <c r="Q49" s="436"/>
      <c r="R49" s="437"/>
      <c r="S49" s="327">
        <f>IF(C25+C28&lt;100,0,IF(C25+C28-1000&lt;0,((C25+C28-100)*0.2),180))</f>
        <v>0</v>
      </c>
      <c r="T49" s="327">
        <f t="shared" ref="T49:AA49" si="29">IF(D25+D28&lt;100,0,IF(D25+D28-1000&lt;0,((D25+D28-100)*0.2),180))</f>
        <v>0</v>
      </c>
      <c r="U49" s="327">
        <f t="shared" si="29"/>
        <v>0</v>
      </c>
      <c r="V49" s="327">
        <f t="shared" si="29"/>
        <v>0</v>
      </c>
      <c r="W49" s="327">
        <f t="shared" si="29"/>
        <v>0</v>
      </c>
      <c r="X49" s="327">
        <f t="shared" si="29"/>
        <v>0</v>
      </c>
      <c r="Y49" s="327">
        <f t="shared" si="29"/>
        <v>0</v>
      </c>
      <c r="Z49" s="327">
        <f t="shared" si="29"/>
        <v>0</v>
      </c>
      <c r="AA49" s="327">
        <f t="shared" si="29"/>
        <v>0</v>
      </c>
      <c r="AB49" s="331"/>
      <c r="AM49" s="2"/>
    </row>
    <row r="50" spans="1:71" ht="15.75" hidden="1" x14ac:dyDescent="0.25">
      <c r="A50" s="70" t="s">
        <v>261</v>
      </c>
      <c r="B50" s="71">
        <f>SUM(C50:K50)</f>
        <v>0</v>
      </c>
      <c r="C50" s="72">
        <f>IF(SUM(C36:C46)-C47-C48-C49&gt;0,SUM(C36:C46)-C47-C48-C49,0)</f>
        <v>0</v>
      </c>
      <c r="D50" s="72">
        <f>IF(SUM(D36:D46)-D47-D48-D49&gt;0,SUM(D36:D46)-D47-D48-D49,0)</f>
        <v>0</v>
      </c>
      <c r="E50" s="72">
        <f t="shared" ref="E50:K50" si="30">IF(E36+E37+E38+E42+E43+E44+E45+E46-E47-E48-E49&gt;0,E36+E37+E38+E42+E43+E44+E45+E46-E47-E48-E49,0)</f>
        <v>0</v>
      </c>
      <c r="F50" s="72">
        <f t="shared" si="30"/>
        <v>0</v>
      </c>
      <c r="G50" s="72">
        <f t="shared" si="30"/>
        <v>0</v>
      </c>
      <c r="H50" s="72">
        <f t="shared" si="30"/>
        <v>0</v>
      </c>
      <c r="I50" s="72">
        <f t="shared" si="30"/>
        <v>0</v>
      </c>
      <c r="J50" s="72">
        <f t="shared" si="30"/>
        <v>0</v>
      </c>
      <c r="K50" s="72">
        <f t="shared" si="30"/>
        <v>0</v>
      </c>
      <c r="M50" s="441" t="s">
        <v>167</v>
      </c>
      <c r="N50" s="441"/>
      <c r="O50" s="441"/>
      <c r="P50" s="441"/>
      <c r="Q50" s="441"/>
      <c r="R50" s="441"/>
      <c r="S50" s="329">
        <f>IF(C25+C28&lt;1000,0,IF(C25+C28-1200&lt;0,((C25+C28-1000)*0.1),20))</f>
        <v>0</v>
      </c>
      <c r="T50" s="329">
        <f t="shared" ref="T50:AA50" si="31">IF(D25+D28&lt;1000,0,IF(D25+D28-1200&lt;0,((D25+D28-1000)*0.1),20))</f>
        <v>0</v>
      </c>
      <c r="U50" s="329">
        <f t="shared" si="31"/>
        <v>0</v>
      </c>
      <c r="V50" s="329">
        <f t="shared" si="31"/>
        <v>0</v>
      </c>
      <c r="W50" s="329">
        <f t="shared" si="31"/>
        <v>0</v>
      </c>
      <c r="X50" s="329">
        <f t="shared" si="31"/>
        <v>0</v>
      </c>
      <c r="Y50" s="329">
        <f t="shared" si="31"/>
        <v>0</v>
      </c>
      <c r="Z50" s="329">
        <f t="shared" si="31"/>
        <v>0</v>
      </c>
      <c r="AA50" s="329">
        <f t="shared" si="31"/>
        <v>0</v>
      </c>
      <c r="AB50" s="331"/>
    </row>
    <row r="51" spans="1:71" ht="15.75" x14ac:dyDescent="0.25">
      <c r="A51" s="70" t="s">
        <v>261</v>
      </c>
      <c r="B51" s="71">
        <f>SUM(C51:K51)</f>
        <v>0</v>
      </c>
      <c r="C51" s="72">
        <f>C50</f>
        <v>0</v>
      </c>
      <c r="D51" s="72">
        <f>D50</f>
        <v>0</v>
      </c>
      <c r="E51" s="72">
        <f t="shared" ref="E51:K51" si="32">IF(E50&lt;E12,E50,E12)</f>
        <v>0</v>
      </c>
      <c r="F51" s="72">
        <f t="shared" si="32"/>
        <v>0</v>
      </c>
      <c r="G51" s="72">
        <f t="shared" si="32"/>
        <v>0</v>
      </c>
      <c r="H51" s="72">
        <f t="shared" si="32"/>
        <v>0</v>
      </c>
      <c r="I51" s="72">
        <f t="shared" si="32"/>
        <v>0</v>
      </c>
      <c r="J51" s="72">
        <f t="shared" si="32"/>
        <v>0</v>
      </c>
      <c r="K51" s="72">
        <f t="shared" si="32"/>
        <v>0</v>
      </c>
      <c r="M51" s="328"/>
      <c r="N51" s="328"/>
      <c r="O51" s="328"/>
      <c r="P51" s="328"/>
      <c r="Q51" s="328"/>
      <c r="R51" s="328"/>
      <c r="S51" s="329"/>
      <c r="T51" s="329"/>
      <c r="U51" s="329"/>
      <c r="V51" s="329"/>
      <c r="W51" s="329"/>
      <c r="X51" s="329"/>
      <c r="Y51" s="329"/>
      <c r="Z51" s="329"/>
      <c r="AA51" s="329"/>
      <c r="AB51" s="16"/>
    </row>
    <row r="52" spans="1:71" ht="30" customHeight="1" x14ac:dyDescent="0.25">
      <c r="A52" s="73" t="s">
        <v>262</v>
      </c>
      <c r="B52" s="74">
        <f>C52+D52+E52+F52+G52+H52+J52++I52+K52</f>
        <v>1012</v>
      </c>
      <c r="C52" s="74">
        <f>C12</f>
        <v>506</v>
      </c>
      <c r="D52" s="74">
        <f>IF(L54=TRUE,D66,D12)</f>
        <v>506</v>
      </c>
      <c r="E52" s="75">
        <f t="shared" ref="E52:K52" si="33">IF(E12-E50&gt;0,E12-E50,0)</f>
        <v>0</v>
      </c>
      <c r="F52" s="75">
        <f t="shared" si="33"/>
        <v>0</v>
      </c>
      <c r="G52" s="75">
        <f t="shared" si="33"/>
        <v>0</v>
      </c>
      <c r="H52" s="75">
        <f t="shared" si="33"/>
        <v>0</v>
      </c>
      <c r="I52" s="75">
        <f t="shared" si="33"/>
        <v>0</v>
      </c>
      <c r="J52" s="75">
        <f t="shared" si="33"/>
        <v>0</v>
      </c>
      <c r="K52" s="75">
        <f t="shared" si="33"/>
        <v>0</v>
      </c>
      <c r="M52" s="441" t="s">
        <v>168</v>
      </c>
      <c r="N52" s="441"/>
      <c r="O52" s="441"/>
      <c r="P52" s="441"/>
      <c r="Q52" s="441"/>
      <c r="R52" s="441"/>
      <c r="S52" s="329">
        <f>IF(OR(C25+C28&lt;1200,$M47=0),0,IF(C25+C28-1500&lt;0,((C25+C28-1200)*0.1),30))</f>
        <v>0</v>
      </c>
      <c r="T52" s="329">
        <f>IF(OR(D25+D28&lt;1200,N47=0),0,IF(D25+D28-1500&lt;0,((D25+D28-1200)*0.1),30))</f>
        <v>0</v>
      </c>
      <c r="U52" s="329">
        <f t="shared" ref="U52:AA52" si="34">IF(OR(E25+E28&lt;1200,$M47=0),0,IF(E25+E28-1500&lt;0,((E25+E28-1200)*0.1),30))</f>
        <v>0</v>
      </c>
      <c r="V52" s="329">
        <f t="shared" si="34"/>
        <v>0</v>
      </c>
      <c r="W52" s="329">
        <f t="shared" si="34"/>
        <v>0</v>
      </c>
      <c r="X52" s="329">
        <f t="shared" si="34"/>
        <v>0</v>
      </c>
      <c r="Y52" s="329">
        <f t="shared" si="34"/>
        <v>0</v>
      </c>
      <c r="Z52" s="329">
        <f t="shared" si="34"/>
        <v>0</v>
      </c>
      <c r="AA52" s="329">
        <f t="shared" si="34"/>
        <v>0</v>
      </c>
    </row>
    <row r="53" spans="1:71" ht="10.5" hidden="1" customHeight="1" x14ac:dyDescent="0.25">
      <c r="L53" s="13" t="b">
        <v>0</v>
      </c>
      <c r="M53" s="332"/>
      <c r="N53" s="109"/>
      <c r="O53" s="109"/>
      <c r="P53" s="109"/>
      <c r="Q53" s="333"/>
      <c r="R53" s="109" t="s">
        <v>170</v>
      </c>
      <c r="S53" s="334">
        <f>SUM(S49+S50+S52)</f>
        <v>0</v>
      </c>
      <c r="T53" s="334">
        <f t="shared" ref="T53:AA53" si="35">SUM(T49+T50+T52)</f>
        <v>0</v>
      </c>
      <c r="U53" s="334">
        <f t="shared" si="35"/>
        <v>0</v>
      </c>
      <c r="V53" s="334">
        <f t="shared" si="35"/>
        <v>0</v>
      </c>
      <c r="W53" s="334">
        <f t="shared" si="35"/>
        <v>0</v>
      </c>
      <c r="X53" s="334">
        <f t="shared" si="35"/>
        <v>0</v>
      </c>
      <c r="Y53" s="334">
        <f t="shared" si="35"/>
        <v>0</v>
      </c>
      <c r="Z53" s="334">
        <f t="shared" si="35"/>
        <v>0</v>
      </c>
      <c r="AA53" s="335">
        <f t="shared" si="35"/>
        <v>0</v>
      </c>
    </row>
    <row r="54" spans="1:71" ht="16.5" customHeight="1" x14ac:dyDescent="0.25">
      <c r="A54" s="1" t="s">
        <v>263</v>
      </c>
      <c r="B54" s="3">
        <f>IF(L54=TRUE,D67,C52+D52+E52+F52+G52+H52+I52+J52+K52)</f>
        <v>1012</v>
      </c>
      <c r="C54" s="373"/>
      <c r="D54" t="s">
        <v>264</v>
      </c>
      <c r="L54" s="164" t="b">
        <v>0</v>
      </c>
      <c r="M54" s="332">
        <f>IF(L54=TRUE,D12-D50,D12)</f>
        <v>506</v>
      </c>
      <c r="N54" s="109"/>
      <c r="O54" s="109"/>
      <c r="P54" s="109"/>
      <c r="Q54" s="333"/>
      <c r="R54" s="109" t="s">
        <v>265</v>
      </c>
      <c r="S54" s="336">
        <f>S49+S50</f>
        <v>0</v>
      </c>
      <c r="T54" s="336">
        <f t="shared" ref="T54:AA54" si="36">T49+T50</f>
        <v>0</v>
      </c>
      <c r="U54" s="336">
        <f t="shared" si="36"/>
        <v>0</v>
      </c>
      <c r="V54" s="336">
        <f t="shared" si="36"/>
        <v>0</v>
      </c>
      <c r="W54" s="336">
        <f t="shared" si="36"/>
        <v>0</v>
      </c>
      <c r="X54" s="336">
        <f t="shared" si="36"/>
        <v>0</v>
      </c>
      <c r="Y54" s="336">
        <f t="shared" si="36"/>
        <v>0</v>
      </c>
      <c r="Z54" s="336">
        <f t="shared" si="36"/>
        <v>0</v>
      </c>
      <c r="AA54" s="337">
        <f t="shared" si="36"/>
        <v>0</v>
      </c>
      <c r="AB54" s="3">
        <f>AB48+AB49+AB50</f>
        <v>0</v>
      </c>
      <c r="AC54" s="3">
        <f>AC48+AC49+AC50</f>
        <v>0</v>
      </c>
    </row>
    <row r="55" spans="1:71" x14ac:dyDescent="0.25">
      <c r="A55" s="63" t="s">
        <v>266</v>
      </c>
      <c r="C55" s="20">
        <f>C52/$B54</f>
        <v>0.5</v>
      </c>
      <c r="D55" s="158">
        <f>IF(L54=TRUE,D68,D52/$B54)</f>
        <v>0.5</v>
      </c>
      <c r="E55" s="20">
        <f t="shared" ref="E55:K55" si="37">E52/$B54</f>
        <v>0</v>
      </c>
      <c r="F55" s="20">
        <f t="shared" si="37"/>
        <v>0</v>
      </c>
      <c r="G55" s="20">
        <f t="shared" si="37"/>
        <v>0</v>
      </c>
      <c r="H55" s="20">
        <f t="shared" si="37"/>
        <v>0</v>
      </c>
      <c r="I55" s="20">
        <f t="shared" si="37"/>
        <v>0</v>
      </c>
      <c r="J55" s="20">
        <f t="shared" si="37"/>
        <v>0</v>
      </c>
      <c r="K55" s="20">
        <f t="shared" si="37"/>
        <v>0</v>
      </c>
      <c r="L55" s="13" t="s">
        <v>267</v>
      </c>
      <c r="M55" s="338">
        <f>E50+F50+G50+H50+I50+J50+K50-E38-F38-G38-H38-I38-J38-K38</f>
        <v>0</v>
      </c>
      <c r="N55" s="109"/>
      <c r="O55" s="109"/>
      <c r="P55" s="109"/>
      <c r="Q55" s="333"/>
      <c r="R55" s="109"/>
      <c r="S55" s="336">
        <f>S54+S56</f>
        <v>0</v>
      </c>
      <c r="T55" s="336">
        <f t="shared" ref="T55:AA55" si="38">T54+T56</f>
        <v>0</v>
      </c>
      <c r="U55" s="336">
        <f t="shared" si="38"/>
        <v>0</v>
      </c>
      <c r="V55" s="336">
        <f t="shared" si="38"/>
        <v>0</v>
      </c>
      <c r="W55" s="336">
        <f t="shared" si="38"/>
        <v>0</v>
      </c>
      <c r="X55" s="336">
        <f t="shared" si="38"/>
        <v>0</v>
      </c>
      <c r="Y55" s="336">
        <f t="shared" si="38"/>
        <v>0</v>
      </c>
      <c r="Z55" s="336">
        <f t="shared" si="38"/>
        <v>0</v>
      </c>
      <c r="AA55" s="337">
        <f t="shared" si="38"/>
        <v>0</v>
      </c>
    </row>
    <row r="56" spans="1:71" ht="19.5" customHeight="1" x14ac:dyDescent="0.25">
      <c r="A56" s="1" t="s">
        <v>268</v>
      </c>
      <c r="B56" s="3">
        <f>IF(L54=TRUE,C50,C50+D50)</f>
        <v>0</v>
      </c>
      <c r="C56" s="3">
        <f>C55*B56</f>
        <v>0</v>
      </c>
      <c r="D56" s="3">
        <f>D55*($C50+$D50)</f>
        <v>0</v>
      </c>
      <c r="E56" s="3">
        <f>E55*$B56</f>
        <v>0</v>
      </c>
      <c r="F56" s="3">
        <f t="shared" ref="F56:K56" si="39">F55*$B56</f>
        <v>0</v>
      </c>
      <c r="G56" s="3">
        <f t="shared" si="39"/>
        <v>0</v>
      </c>
      <c r="H56" s="3">
        <f t="shared" si="39"/>
        <v>0</v>
      </c>
      <c r="I56" s="3">
        <f t="shared" si="39"/>
        <v>0</v>
      </c>
      <c r="J56" s="3">
        <f t="shared" si="39"/>
        <v>0</v>
      </c>
      <c r="K56" s="3">
        <f t="shared" si="39"/>
        <v>0</v>
      </c>
      <c r="M56" s="332" t="s">
        <v>174</v>
      </c>
      <c r="N56" s="109"/>
      <c r="O56" s="109"/>
      <c r="P56" s="109"/>
      <c r="Q56" s="333"/>
      <c r="R56" s="109"/>
      <c r="S56" s="333">
        <f>IF(S49&gt;84,(S49-84)/2,0)</f>
        <v>0</v>
      </c>
      <c r="T56" s="333">
        <f t="shared" ref="T56:AA56" si="40">IF(T49&gt;84,(T49-84)/2,0)</f>
        <v>0</v>
      </c>
      <c r="U56" s="333">
        <f t="shared" si="40"/>
        <v>0</v>
      </c>
      <c r="V56" s="333">
        <f t="shared" si="40"/>
        <v>0</v>
      </c>
      <c r="W56" s="333">
        <f t="shared" si="40"/>
        <v>0</v>
      </c>
      <c r="X56" s="333">
        <f t="shared" si="40"/>
        <v>0</v>
      </c>
      <c r="Y56" s="333">
        <f t="shared" si="40"/>
        <v>0</v>
      </c>
      <c r="Z56" s="333">
        <f t="shared" si="40"/>
        <v>0</v>
      </c>
      <c r="AA56" s="339">
        <f t="shared" si="40"/>
        <v>0</v>
      </c>
    </row>
    <row r="57" spans="1:71" ht="0.75" customHeight="1" x14ac:dyDescent="0.25">
      <c r="M57" s="332"/>
      <c r="N57" s="109"/>
      <c r="O57" s="109"/>
      <c r="P57" s="109"/>
      <c r="Q57" s="333"/>
      <c r="R57" s="109"/>
      <c r="S57" s="109"/>
      <c r="T57" s="109"/>
      <c r="U57" s="109"/>
      <c r="V57" s="109"/>
      <c r="W57" s="109"/>
      <c r="X57" s="109"/>
      <c r="Y57" s="109"/>
      <c r="Z57" s="109"/>
      <c r="AA57" s="340"/>
    </row>
    <row r="58" spans="1:71" s="23" customFormat="1" ht="31.5" x14ac:dyDescent="0.25">
      <c r="A58" s="21" t="s">
        <v>269</v>
      </c>
      <c r="B58" s="22">
        <f>SUM(C58:K58)</f>
        <v>1012</v>
      </c>
      <c r="C58" s="22">
        <f>IF(C52-C56&gt;0,C52-C56,0)</f>
        <v>506</v>
      </c>
      <c r="D58" s="22">
        <f>IF(L54=TRUE,D69,IF(D52-D56&gt;0,D52-D56,0))</f>
        <v>506</v>
      </c>
      <c r="E58" s="22">
        <f t="shared" ref="E58:K58" si="41">IF(E52-E56&gt;0,E52-E56,0)</f>
        <v>0</v>
      </c>
      <c r="F58" s="22">
        <f t="shared" si="41"/>
        <v>0</v>
      </c>
      <c r="G58" s="22">
        <f t="shared" si="41"/>
        <v>0</v>
      </c>
      <c r="H58" s="22">
        <f t="shared" si="41"/>
        <v>0</v>
      </c>
      <c r="I58" s="22">
        <f t="shared" si="41"/>
        <v>0</v>
      </c>
      <c r="J58" s="22">
        <f t="shared" si="41"/>
        <v>0</v>
      </c>
      <c r="K58" s="22">
        <f t="shared" si="41"/>
        <v>0</v>
      </c>
      <c r="L58" s="13"/>
      <c r="M58" s="332" t="s">
        <v>270</v>
      </c>
      <c r="N58" s="109"/>
      <c r="O58" s="109"/>
      <c r="P58" s="109"/>
      <c r="Q58" s="333"/>
      <c r="R58" s="109"/>
      <c r="S58" s="333">
        <f t="shared" ref="S58:AA58" si="42">IF(C25&lt;=$N94,C25,$N94)</f>
        <v>0</v>
      </c>
      <c r="T58" s="333">
        <f t="shared" si="42"/>
        <v>0</v>
      </c>
      <c r="U58" s="333">
        <f t="shared" si="42"/>
        <v>0</v>
      </c>
      <c r="V58" s="333">
        <f t="shared" si="42"/>
        <v>0</v>
      </c>
      <c r="W58" s="333">
        <f t="shared" si="42"/>
        <v>0</v>
      </c>
      <c r="X58" s="333">
        <f t="shared" si="42"/>
        <v>0</v>
      </c>
      <c r="Y58" s="333">
        <f t="shared" si="42"/>
        <v>0</v>
      </c>
      <c r="Z58" s="333">
        <f t="shared" si="42"/>
        <v>0</v>
      </c>
      <c r="AA58" s="333">
        <f t="shared" si="42"/>
        <v>0</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row>
    <row r="59" spans="1:71" s="23" customFormat="1" ht="15.75" hidden="1" x14ac:dyDescent="0.25">
      <c r="A59" s="21" t="s">
        <v>421</v>
      </c>
      <c r="B59" s="22"/>
      <c r="C59" s="22"/>
      <c r="D59" s="22"/>
      <c r="E59" s="22">
        <f>IF(OR($B1="ab 7/2022",$B1="bis 06/2023",$B1="ab 7/2023",$B1=2024),20,IF(OR($B1=2025,$B1=2026),25,0))</f>
        <v>25</v>
      </c>
      <c r="F59" s="22">
        <f t="shared" ref="F59:K59" si="43">IF(OR($B1="ab 7/2022",$B1="bis 06/2023",$B1="ab 7/2023",$B1=2024),20,IF(OR($B1=2025,$B1=2026),25,0))</f>
        <v>25</v>
      </c>
      <c r="G59" s="22">
        <f t="shared" si="43"/>
        <v>25</v>
      </c>
      <c r="H59" s="22">
        <f t="shared" si="43"/>
        <v>25</v>
      </c>
      <c r="I59" s="22">
        <f t="shared" si="43"/>
        <v>25</v>
      </c>
      <c r="J59" s="22">
        <f t="shared" si="43"/>
        <v>25</v>
      </c>
      <c r="K59" s="22">
        <f t="shared" si="43"/>
        <v>25</v>
      </c>
      <c r="L59" s="13"/>
      <c r="M59" s="332"/>
      <c r="N59" s="109"/>
      <c r="O59" s="109"/>
      <c r="P59" s="109"/>
      <c r="Q59" s="333"/>
      <c r="R59" s="109"/>
      <c r="S59" s="333"/>
      <c r="T59" s="333"/>
      <c r="U59" s="333"/>
      <c r="V59" s="333"/>
      <c r="W59" s="333"/>
      <c r="X59" s="333"/>
      <c r="Y59" s="333"/>
      <c r="Z59" s="333"/>
      <c r="AA59" s="333"/>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row r="60" spans="1:71" hidden="1" x14ac:dyDescent="0.25">
      <c r="A60" s="1" t="s">
        <v>171</v>
      </c>
      <c r="E60" s="2">
        <f>IF(E58&gt;0,E59,0)</f>
        <v>0</v>
      </c>
      <c r="F60" s="2">
        <f t="shared" ref="F60:K60" si="44">IF(F58&gt;0,F59,0)</f>
        <v>0</v>
      </c>
      <c r="G60" s="2">
        <f t="shared" si="44"/>
        <v>0</v>
      </c>
      <c r="H60" s="2">
        <f t="shared" si="44"/>
        <v>0</v>
      </c>
      <c r="I60" s="2">
        <f t="shared" si="44"/>
        <v>0</v>
      </c>
      <c r="J60" s="2">
        <f t="shared" si="44"/>
        <v>0</v>
      </c>
      <c r="K60" s="2">
        <f t="shared" si="44"/>
        <v>0</v>
      </c>
      <c r="M60" s="332" t="s">
        <v>271</v>
      </c>
      <c r="N60" s="109"/>
      <c r="O60" s="109"/>
      <c r="P60" s="109"/>
      <c r="Q60" s="333"/>
      <c r="R60" s="109"/>
      <c r="S60" s="336">
        <f t="shared" ref="S60:AA60" si="45">IF(P1=TRUE,(S56*3)+S50,(S56*3)+S50)</f>
        <v>0</v>
      </c>
      <c r="T60" s="336">
        <f t="shared" si="45"/>
        <v>0</v>
      </c>
      <c r="U60" s="336">
        <f t="shared" si="45"/>
        <v>0</v>
      </c>
      <c r="V60" s="336">
        <f t="shared" si="45"/>
        <v>0</v>
      </c>
      <c r="W60" s="336">
        <f t="shared" si="45"/>
        <v>0</v>
      </c>
      <c r="X60" s="336">
        <f t="shared" si="45"/>
        <v>0</v>
      </c>
      <c r="Y60" s="336">
        <f t="shared" si="45"/>
        <v>0</v>
      </c>
      <c r="Z60" s="336">
        <f t="shared" si="45"/>
        <v>0</v>
      </c>
      <c r="AA60" s="336">
        <f t="shared" si="45"/>
        <v>0</v>
      </c>
    </row>
    <row r="61" spans="1:71" ht="30" hidden="1" x14ac:dyDescent="0.25">
      <c r="A61" s="1" t="s">
        <v>172</v>
      </c>
      <c r="E61" s="2">
        <f t="shared" ref="E61:K61" si="46">IF($B58&gt;0,IF(AND(E41&gt;0,E58=0),E59,0),0)</f>
        <v>0</v>
      </c>
      <c r="F61" s="2">
        <f t="shared" si="46"/>
        <v>0</v>
      </c>
      <c r="G61" s="2">
        <f t="shared" si="46"/>
        <v>0</v>
      </c>
      <c r="H61" s="2">
        <f t="shared" si="46"/>
        <v>0</v>
      </c>
      <c r="I61" s="2">
        <f t="shared" si="46"/>
        <v>0</v>
      </c>
      <c r="J61" s="2">
        <f t="shared" si="46"/>
        <v>0</v>
      </c>
      <c r="K61" s="2">
        <f t="shared" si="46"/>
        <v>0</v>
      </c>
      <c r="M61" s="442" t="s">
        <v>272</v>
      </c>
      <c r="N61" s="443"/>
      <c r="O61" s="325"/>
      <c r="P61" s="325"/>
      <c r="Q61" s="324"/>
      <c r="R61" s="325"/>
      <c r="S61" s="341">
        <f t="shared" ref="S61:AA61" si="47">S52+S60</f>
        <v>0</v>
      </c>
      <c r="T61" s="341">
        <f t="shared" si="47"/>
        <v>0</v>
      </c>
      <c r="U61" s="341">
        <f t="shared" si="47"/>
        <v>0</v>
      </c>
      <c r="V61" s="341">
        <f t="shared" si="47"/>
        <v>0</v>
      </c>
      <c r="W61" s="341">
        <f t="shared" si="47"/>
        <v>0</v>
      </c>
      <c r="X61" s="341">
        <f t="shared" si="47"/>
        <v>0</v>
      </c>
      <c r="Y61" s="341">
        <f t="shared" si="47"/>
        <v>0</v>
      </c>
      <c r="Z61" s="341">
        <f t="shared" si="47"/>
        <v>0</v>
      </c>
      <c r="AA61" s="342">
        <f t="shared" si="47"/>
        <v>0</v>
      </c>
    </row>
    <row r="62" spans="1:71" hidden="1" x14ac:dyDescent="0.25">
      <c r="A62" s="1" t="str">
        <f>IF(OR(B1="ab 7/2022",B1="2023"),"Sofortzuschlag","")</f>
        <v/>
      </c>
      <c r="B62" s="2"/>
      <c r="C62" s="2" t="str">
        <f>IF(OR($B1="ab 7/2022",$B1="2023",$B1="ab 7/2023"),C60+C61," ")</f>
        <v xml:space="preserve"> </v>
      </c>
      <c r="D62" s="2" t="str">
        <f>IF(OR($B1="ab 7/2022",$B1="2023",$B1="ab 7/2023"),D60+D61," ")</f>
        <v xml:space="preserve"> </v>
      </c>
      <c r="E62" s="2">
        <f>IF(OR($B1="ab 7/2022",$B1="bis 06/2023",$B1="ab 7/2023",$B1=2024,$B1=2025,$B1=2026),E60+E61,0)</f>
        <v>0</v>
      </c>
      <c r="F62" s="2">
        <f t="shared" ref="F62:K62" si="48">IF(OR($B1="ab 7/2022",$B1="bis 06/2023",$B1="ab 7/2023",$B1=2024,$B1=2025,$B1=2026),F60+F61,0)</f>
        <v>0</v>
      </c>
      <c r="G62" s="2">
        <f t="shared" si="48"/>
        <v>0</v>
      </c>
      <c r="H62" s="2">
        <f t="shared" si="48"/>
        <v>0</v>
      </c>
      <c r="I62" s="2">
        <f t="shared" si="48"/>
        <v>0</v>
      </c>
      <c r="J62" s="2">
        <f t="shared" si="48"/>
        <v>0</v>
      </c>
      <c r="K62" s="2">
        <f t="shared" si="48"/>
        <v>0</v>
      </c>
      <c r="L62" s="13" t="str">
        <f>IF($B1="ab 7/2022",L60+L61," ")</f>
        <v xml:space="preserve"> </v>
      </c>
      <c r="M62" t="str">
        <f>IF($B1="ab 7/2022",M60+M61," ")</f>
        <v xml:space="preserve"> </v>
      </c>
      <c r="N62" t="s">
        <v>1</v>
      </c>
      <c r="O62">
        <v>2024</v>
      </c>
      <c r="P62" t="str">
        <f t="shared" ref="P62:AD62" si="49">IF($B1="ab 7/2022",P60+P61," ")</f>
        <v xml:space="preserve"> </v>
      </c>
      <c r="Q62" s="2" t="str">
        <f t="shared" si="49"/>
        <v xml:space="preserve"> </v>
      </c>
      <c r="R62" t="str">
        <f t="shared" si="49"/>
        <v xml:space="preserve"> </v>
      </c>
      <c r="S62" t="str">
        <f t="shared" si="49"/>
        <v xml:space="preserve"> </v>
      </c>
      <c r="T62" t="str">
        <f t="shared" si="49"/>
        <v xml:space="preserve"> </v>
      </c>
      <c r="U62" t="str">
        <f t="shared" si="49"/>
        <v xml:space="preserve"> </v>
      </c>
      <c r="V62" t="str">
        <f t="shared" si="49"/>
        <v xml:space="preserve"> </v>
      </c>
      <c r="W62" t="str">
        <f t="shared" si="49"/>
        <v xml:space="preserve"> </v>
      </c>
      <c r="X62" t="str">
        <f t="shared" si="49"/>
        <v xml:space="preserve"> </v>
      </c>
      <c r="Y62" t="str">
        <f t="shared" si="49"/>
        <v xml:space="preserve"> </v>
      </c>
      <c r="Z62" t="str">
        <f t="shared" si="49"/>
        <v xml:space="preserve"> </v>
      </c>
      <c r="AA62" t="str">
        <f t="shared" si="49"/>
        <v xml:space="preserve"> </v>
      </c>
      <c r="AB62" t="str">
        <f t="shared" si="49"/>
        <v xml:space="preserve"> </v>
      </c>
      <c r="AC62" t="str">
        <f t="shared" si="49"/>
        <v xml:space="preserve"> </v>
      </c>
      <c r="AD62" t="str">
        <f t="shared" si="49"/>
        <v xml:space="preserve"> </v>
      </c>
    </row>
    <row r="63" spans="1:71" s="252" customFormat="1" ht="37.5" customHeight="1" x14ac:dyDescent="0.25">
      <c r="A63" s="296" t="str">
        <f>IF(OR(B1="ab 7/2022",B1="bis 06/2023",B1="ab 7/2023",B1=2024,$B1=2025,$B1=2026),"Leistungsanspruch mit Sofortzuschlag"," ")</f>
        <v>Leistungsanspruch mit Sofortzuschlag</v>
      </c>
      <c r="B63" s="297">
        <f>SUM(C63:K63)</f>
        <v>1012</v>
      </c>
      <c r="C63" s="298">
        <f>IF(OR($B1="ab 7/2022",$B1="bis 06/2023",$B1="ab 7/2023",$B1=2024,$B1=2025,$B1=2026),C58," ")</f>
        <v>506</v>
      </c>
      <c r="D63" s="298">
        <f>IF(OR($B1="ab 7/2022",$B1="bis 06/2023",$B1="ab 7/2023",$B1=2024,$B1=2025,$B1=2026),D58," ")</f>
        <v>506</v>
      </c>
      <c r="E63" s="298">
        <f>IF(OR($B1="ab 7/2022",$B1="bis 06/2023",$B1="ab 7/2023",$B1=2024,$B1=2025,$B1=2026),E58+E62," ")</f>
        <v>0</v>
      </c>
      <c r="F63" s="298">
        <f t="shared" ref="F63:K63" si="50">IF(OR($B1="ab 7/2022",$B1="bis 06/2023",$B1="ab 7/2023",$B1=2024,$B1=2025,$B1=2026),F58+F62," ")</f>
        <v>0</v>
      </c>
      <c r="G63" s="298">
        <f t="shared" si="50"/>
        <v>0</v>
      </c>
      <c r="H63" s="298">
        <f t="shared" si="50"/>
        <v>0</v>
      </c>
      <c r="I63" s="298">
        <f t="shared" si="50"/>
        <v>0</v>
      </c>
      <c r="J63" s="298">
        <f t="shared" si="50"/>
        <v>0</v>
      </c>
      <c r="K63" s="298">
        <f t="shared" si="50"/>
        <v>0</v>
      </c>
      <c r="L63" s="253"/>
      <c r="M63" t="s">
        <v>270</v>
      </c>
      <c r="N63">
        <v>520</v>
      </c>
      <c r="O63">
        <v>538</v>
      </c>
      <c r="P63"/>
      <c r="Q63" s="2"/>
      <c r="R63"/>
      <c r="S63"/>
      <c r="T63"/>
      <c r="U63"/>
      <c r="V63"/>
      <c r="AE63" s="256"/>
      <c r="AF63"/>
      <c r="AG63"/>
      <c r="AH63"/>
      <c r="AI63"/>
      <c r="AJ63"/>
      <c r="AK63"/>
      <c r="AL63"/>
      <c r="AM63"/>
      <c r="AN63" s="256"/>
      <c r="AO63" s="256"/>
      <c r="AP63" s="256"/>
      <c r="AQ63" s="256"/>
      <c r="AR63" s="256"/>
      <c r="AS63" s="256"/>
    </row>
    <row r="64" spans="1:71" ht="16.5" hidden="1" customHeight="1" x14ac:dyDescent="0.25">
      <c r="A64" s="255" t="s">
        <v>273</v>
      </c>
      <c r="B64" s="2">
        <f t="shared" ref="B64:K64" si="51">IF(OR($B1=2022,$B1=2021,$B1=2020,$B1=2019,$B1=2018),B58,B63)</f>
        <v>1012</v>
      </c>
      <c r="C64" s="2">
        <f t="shared" si="51"/>
        <v>506</v>
      </c>
      <c r="D64" s="2">
        <f t="shared" si="51"/>
        <v>506</v>
      </c>
      <c r="E64" s="2">
        <f t="shared" si="51"/>
        <v>0</v>
      </c>
      <c r="F64" s="2">
        <f t="shared" si="51"/>
        <v>0</v>
      </c>
      <c r="G64" s="2">
        <f t="shared" si="51"/>
        <v>0</v>
      </c>
      <c r="H64" s="2">
        <f t="shared" si="51"/>
        <v>0</v>
      </c>
      <c r="I64" s="2">
        <f t="shared" si="51"/>
        <v>0</v>
      </c>
      <c r="J64" s="2">
        <f t="shared" si="51"/>
        <v>0</v>
      </c>
      <c r="K64" s="2">
        <f t="shared" si="51"/>
        <v>0</v>
      </c>
      <c r="AM64" s="39"/>
    </row>
    <row r="65" spans="1:45" ht="21.75" hidden="1" customHeight="1" x14ac:dyDescent="0.25">
      <c r="A65" s="399" t="s">
        <v>274</v>
      </c>
      <c r="B65" s="399"/>
      <c r="C65" s="399"/>
      <c r="D65" s="399"/>
      <c r="E65" s="399"/>
      <c r="F65" s="399"/>
      <c r="AN65" s="39"/>
      <c r="AO65" s="39"/>
      <c r="AP65" s="39"/>
      <c r="AQ65" s="39"/>
      <c r="AR65" s="39"/>
      <c r="AS65" s="39"/>
    </row>
    <row r="66" spans="1:45" ht="22.5" hidden="1" customHeight="1" x14ac:dyDescent="0.25">
      <c r="A66" s="399" t="s">
        <v>275</v>
      </c>
      <c r="B66" s="399"/>
      <c r="C66" s="399"/>
      <c r="D66">
        <f>IF(D12-D50&lt;0,0,D12-D50)</f>
        <v>506</v>
      </c>
      <c r="AF66" s="256"/>
      <c r="AG66" s="256"/>
      <c r="AH66" s="256"/>
      <c r="AI66" s="256"/>
      <c r="AJ66" s="256"/>
      <c r="AK66" s="256"/>
      <c r="AL66" s="256"/>
      <c r="AM66" s="256"/>
    </row>
    <row r="67" spans="1:45" hidden="1" x14ac:dyDescent="0.25">
      <c r="A67" s="1" t="s">
        <v>263</v>
      </c>
      <c r="D67" s="3">
        <f>C52+E52+F52+G52+H52+I52+J52+K52</f>
        <v>506</v>
      </c>
    </row>
    <row r="68" spans="1:45" hidden="1" x14ac:dyDescent="0.25">
      <c r="A68" s="1" t="s">
        <v>276</v>
      </c>
      <c r="D68" s="86">
        <v>0</v>
      </c>
    </row>
    <row r="69" spans="1:45" hidden="1" x14ac:dyDescent="0.25">
      <c r="A69" s="1" t="s">
        <v>277</v>
      </c>
      <c r="D69" s="2">
        <v>0</v>
      </c>
    </row>
    <row r="70" spans="1:45" ht="30" hidden="1" x14ac:dyDescent="0.25">
      <c r="A70" s="1" t="s">
        <v>278</v>
      </c>
      <c r="D70" s="2">
        <f>IF(D51&gt;D12,D51-D12,0)</f>
        <v>0</v>
      </c>
    </row>
    <row r="71" spans="1:45" hidden="1" x14ac:dyDescent="0.25">
      <c r="A71" s="1" t="s">
        <v>279</v>
      </c>
      <c r="D71" t="s">
        <v>280</v>
      </c>
    </row>
    <row r="72" spans="1:45" ht="36.950000000000003" hidden="1" customHeight="1" x14ac:dyDescent="0.25">
      <c r="A72" s="1" t="s">
        <v>281</v>
      </c>
      <c r="B72" t="s">
        <v>189</v>
      </c>
      <c r="C72">
        <f>D72+E72+F72+G72+H72+I72+J72</f>
        <v>0</v>
      </c>
      <c r="D72" s="44"/>
      <c r="E72" s="44">
        <f t="shared" ref="E72:K72" si="52">IF(AND(E58&gt;0,E38=0),1,0)</f>
        <v>0</v>
      </c>
      <c r="F72" s="44">
        <f t="shared" si="52"/>
        <v>0</v>
      </c>
      <c r="G72" s="44">
        <f t="shared" si="52"/>
        <v>0</v>
      </c>
      <c r="H72" s="44">
        <f t="shared" si="52"/>
        <v>0</v>
      </c>
      <c r="I72" s="44">
        <f t="shared" si="52"/>
        <v>0</v>
      </c>
      <c r="J72" s="44">
        <f t="shared" si="52"/>
        <v>0</v>
      </c>
      <c r="K72" s="44">
        <f t="shared" si="52"/>
        <v>0</v>
      </c>
    </row>
    <row r="73" spans="1:45" hidden="1" x14ac:dyDescent="0.25"/>
    <row r="74" spans="1:45" hidden="1" x14ac:dyDescent="0.25">
      <c r="A74" s="1" t="s">
        <v>190</v>
      </c>
      <c r="E74" s="2">
        <f t="shared" ref="E74:K74" si="53">E51</f>
        <v>0</v>
      </c>
      <c r="F74" s="2">
        <f t="shared" si="53"/>
        <v>0</v>
      </c>
      <c r="G74" s="2">
        <f t="shared" si="53"/>
        <v>0</v>
      </c>
      <c r="H74" s="2">
        <f t="shared" si="53"/>
        <v>0</v>
      </c>
      <c r="I74" s="2">
        <f t="shared" si="53"/>
        <v>0</v>
      </c>
      <c r="J74" s="2">
        <f t="shared" si="53"/>
        <v>0</v>
      </c>
      <c r="K74" s="2">
        <f t="shared" si="53"/>
        <v>0</v>
      </c>
    </row>
    <row r="75" spans="1:45" s="284" customFormat="1" ht="30" hidden="1" x14ac:dyDescent="0.25">
      <c r="A75" s="283" t="s">
        <v>191</v>
      </c>
      <c r="E75" s="285">
        <f t="shared" ref="E75:K75" si="54">IF(E74-E41&gt;0,E74-E41,0)</f>
        <v>0</v>
      </c>
      <c r="F75" s="285">
        <f t="shared" si="54"/>
        <v>0</v>
      </c>
      <c r="G75" s="285">
        <f t="shared" si="54"/>
        <v>0</v>
      </c>
      <c r="H75" s="285">
        <f t="shared" si="54"/>
        <v>0</v>
      </c>
      <c r="I75" s="285">
        <f t="shared" si="54"/>
        <v>0</v>
      </c>
      <c r="J75" s="285">
        <f t="shared" si="54"/>
        <v>0</v>
      </c>
      <c r="K75" s="285">
        <f t="shared" si="54"/>
        <v>0</v>
      </c>
      <c r="L75" s="286"/>
      <c r="M75"/>
      <c r="N75"/>
      <c r="O75"/>
      <c r="P75"/>
      <c r="Q75" s="2"/>
      <c r="R75"/>
      <c r="S75"/>
      <c r="T75"/>
      <c r="U75"/>
      <c r="V75"/>
      <c r="AF75"/>
      <c r="AG75"/>
      <c r="AH75"/>
      <c r="AI75"/>
      <c r="AJ75"/>
      <c r="AK75"/>
      <c r="AL75"/>
      <c r="AM75"/>
    </row>
    <row r="76" spans="1:45" s="284" customFormat="1" ht="45" hidden="1" x14ac:dyDescent="0.25">
      <c r="A76" s="283" t="s">
        <v>192</v>
      </c>
      <c r="E76" s="285">
        <f t="shared" ref="E76:K76" si="55">IF(E2&gt;17,IF(E47-E75&gt;0,E47-E75,0),0)</f>
        <v>0</v>
      </c>
      <c r="F76" s="285">
        <f t="shared" si="55"/>
        <v>0</v>
      </c>
      <c r="G76" s="285">
        <f t="shared" si="55"/>
        <v>0</v>
      </c>
      <c r="H76" s="285">
        <f t="shared" si="55"/>
        <v>0</v>
      </c>
      <c r="I76" s="285">
        <f t="shared" si="55"/>
        <v>0</v>
      </c>
      <c r="J76" s="285">
        <f t="shared" si="55"/>
        <v>0</v>
      </c>
      <c r="K76" s="285">
        <f t="shared" si="55"/>
        <v>0</v>
      </c>
      <c r="L76" s="286"/>
      <c r="M76"/>
      <c r="N76"/>
      <c r="O76"/>
      <c r="P76"/>
      <c r="Q76" s="2"/>
      <c r="R76"/>
      <c r="S76"/>
      <c r="T76"/>
      <c r="U76"/>
      <c r="V76"/>
    </row>
    <row r="77" spans="1:45" s="284" customFormat="1" hidden="1" x14ac:dyDescent="0.25">
      <c r="A77" s="283" t="s">
        <v>193</v>
      </c>
      <c r="E77" s="285">
        <f t="shared" ref="E77:K77" si="56">E37+E42+E43+E44+E45</f>
        <v>0</v>
      </c>
      <c r="F77" s="285">
        <f t="shared" si="56"/>
        <v>0</v>
      </c>
      <c r="G77" s="285">
        <f t="shared" si="56"/>
        <v>0</v>
      </c>
      <c r="H77" s="285">
        <f t="shared" si="56"/>
        <v>0</v>
      </c>
      <c r="I77" s="285">
        <f t="shared" si="56"/>
        <v>0</v>
      </c>
      <c r="J77" s="285">
        <f t="shared" si="56"/>
        <v>0</v>
      </c>
      <c r="K77" s="285">
        <f t="shared" si="56"/>
        <v>0</v>
      </c>
      <c r="L77" s="286"/>
      <c r="M77"/>
      <c r="N77"/>
      <c r="O77"/>
      <c r="P77"/>
      <c r="Q77" s="2"/>
      <c r="R77"/>
      <c r="S77"/>
      <c r="T77"/>
      <c r="U77"/>
      <c r="V77"/>
    </row>
    <row r="78" spans="1:45" s="284" customFormat="1" hidden="1" x14ac:dyDescent="0.25">
      <c r="A78" s="283" t="s">
        <v>194</v>
      </c>
      <c r="E78" s="285">
        <f>IF(E77&gt;=E76,E76,E77)</f>
        <v>0</v>
      </c>
      <c r="F78" s="285">
        <f t="shared" ref="F78:K78" si="57">IF(F77&gt;=F76,F76,F77)</f>
        <v>0</v>
      </c>
      <c r="G78" s="285">
        <f t="shared" si="57"/>
        <v>0</v>
      </c>
      <c r="H78" s="285">
        <f t="shared" si="57"/>
        <v>0</v>
      </c>
      <c r="I78" s="285">
        <f t="shared" si="57"/>
        <v>0</v>
      </c>
      <c r="J78" s="285">
        <f t="shared" si="57"/>
        <v>0</v>
      </c>
      <c r="K78" s="285">
        <f t="shared" si="57"/>
        <v>0</v>
      </c>
      <c r="L78" s="286"/>
      <c r="M78"/>
      <c r="N78"/>
      <c r="O78"/>
      <c r="P78"/>
      <c r="Q78" s="2"/>
      <c r="R78"/>
      <c r="S78"/>
      <c r="T78"/>
      <c r="U78"/>
      <c r="V78"/>
    </row>
    <row r="79" spans="1:45" s="284" customFormat="1" hidden="1" x14ac:dyDescent="0.25">
      <c r="A79" s="283" t="s">
        <v>195</v>
      </c>
      <c r="E79" s="285">
        <f>E76-E78</f>
        <v>0</v>
      </c>
      <c r="F79" s="285">
        <f t="shared" ref="F79:K79" si="58">F76-F78</f>
        <v>0</v>
      </c>
      <c r="G79" s="285">
        <f t="shared" si="58"/>
        <v>0</v>
      </c>
      <c r="H79" s="285">
        <f t="shared" si="58"/>
        <v>0</v>
      </c>
      <c r="I79" s="285">
        <f t="shared" si="58"/>
        <v>0</v>
      </c>
      <c r="J79" s="285">
        <f t="shared" si="58"/>
        <v>0</v>
      </c>
      <c r="K79" s="285">
        <f t="shared" si="58"/>
        <v>0</v>
      </c>
      <c r="L79" s="286"/>
      <c r="M79"/>
      <c r="N79"/>
      <c r="O79"/>
      <c r="P79"/>
      <c r="Q79" s="2"/>
      <c r="R79"/>
      <c r="S79"/>
      <c r="T79"/>
      <c r="U79"/>
      <c r="V79"/>
    </row>
    <row r="80" spans="1:45" s="284" customFormat="1" ht="30" hidden="1" x14ac:dyDescent="0.25">
      <c r="A80" s="283" t="s">
        <v>196</v>
      </c>
      <c r="E80" s="285">
        <f t="shared" ref="E80:K80" si="59">IF(E38-E79&gt;0,E38-E79,0)</f>
        <v>0</v>
      </c>
      <c r="F80" s="285">
        <f t="shared" si="59"/>
        <v>0</v>
      </c>
      <c r="G80" s="285">
        <f t="shared" si="59"/>
        <v>0</v>
      </c>
      <c r="H80" s="285">
        <f t="shared" si="59"/>
        <v>0</v>
      </c>
      <c r="I80" s="285">
        <f t="shared" si="59"/>
        <v>0</v>
      </c>
      <c r="J80" s="285">
        <f t="shared" si="59"/>
        <v>0</v>
      </c>
      <c r="K80" s="285">
        <f t="shared" si="59"/>
        <v>0</v>
      </c>
      <c r="L80" s="286"/>
      <c r="M80"/>
      <c r="N80"/>
      <c r="O80"/>
      <c r="P80"/>
      <c r="Q80" s="2"/>
      <c r="R80"/>
      <c r="S80"/>
      <c r="T80"/>
      <c r="U80"/>
      <c r="V80"/>
    </row>
    <row r="81" spans="1:39" s="284" customFormat="1" hidden="1" x14ac:dyDescent="0.25">
      <c r="A81" s="283" t="s">
        <v>282</v>
      </c>
      <c r="B81" s="285">
        <f>SUM(E80:K80)</f>
        <v>0</v>
      </c>
      <c r="E81" s="285"/>
      <c r="F81" s="285"/>
      <c r="G81" s="285"/>
      <c r="L81" s="286"/>
      <c r="M81"/>
      <c r="N81"/>
      <c r="O81"/>
      <c r="P81"/>
      <c r="Q81" s="2"/>
      <c r="R81"/>
      <c r="S81"/>
      <c r="T81"/>
      <c r="U81"/>
      <c r="V81"/>
    </row>
    <row r="82" spans="1:39" hidden="1" x14ac:dyDescent="0.25">
      <c r="AF82" s="284"/>
      <c r="AG82" s="284"/>
      <c r="AH82" s="284"/>
      <c r="AI82" s="284"/>
      <c r="AJ82" s="284"/>
      <c r="AK82" s="284"/>
      <c r="AL82" s="284"/>
      <c r="AM82" s="284"/>
    </row>
    <row r="83" spans="1:39" ht="29.1" hidden="1" customHeight="1" x14ac:dyDescent="0.25">
      <c r="A83" s="396" t="s">
        <v>283</v>
      </c>
      <c r="B83" s="396"/>
    </row>
    <row r="84" spans="1:39" ht="30.6" hidden="1" customHeight="1" x14ac:dyDescent="0.25">
      <c r="A84" s="1" t="s">
        <v>284</v>
      </c>
      <c r="B84" s="3">
        <f>SUM(C84:K84)</f>
        <v>1012</v>
      </c>
      <c r="C84" s="3">
        <f>C52</f>
        <v>506</v>
      </c>
      <c r="D84" s="3">
        <f>D52</f>
        <v>506</v>
      </c>
      <c r="E84" s="2">
        <f t="shared" ref="E84:K84" si="60">E12-E51+E38</f>
        <v>0</v>
      </c>
      <c r="F84" s="2">
        <f t="shared" si="60"/>
        <v>0</v>
      </c>
      <c r="G84" s="2">
        <f t="shared" si="60"/>
        <v>0</v>
      </c>
      <c r="H84" s="2">
        <f t="shared" si="60"/>
        <v>0</v>
      </c>
      <c r="I84" s="2">
        <f t="shared" si="60"/>
        <v>0</v>
      </c>
      <c r="J84" s="2">
        <f t="shared" si="60"/>
        <v>0</v>
      </c>
      <c r="K84" s="2">
        <f t="shared" si="60"/>
        <v>0</v>
      </c>
    </row>
    <row r="85" spans="1:39" hidden="1" x14ac:dyDescent="0.25">
      <c r="A85" s="63" t="s">
        <v>266</v>
      </c>
      <c r="C85" s="86">
        <f>C84/$B84</f>
        <v>0.5</v>
      </c>
      <c r="D85" s="86">
        <f t="shared" ref="D85:K85" si="61">D84/$B84</f>
        <v>0.5</v>
      </c>
      <c r="E85" s="86">
        <f t="shared" si="61"/>
        <v>0</v>
      </c>
      <c r="F85" s="86">
        <f t="shared" si="61"/>
        <v>0</v>
      </c>
      <c r="G85" s="86">
        <f t="shared" si="61"/>
        <v>0</v>
      </c>
      <c r="H85" s="86">
        <f t="shared" si="61"/>
        <v>0</v>
      </c>
      <c r="I85" s="86">
        <f t="shared" si="61"/>
        <v>0</v>
      </c>
      <c r="J85" s="86">
        <f t="shared" si="61"/>
        <v>0</v>
      </c>
      <c r="K85" s="86">
        <f t="shared" si="61"/>
        <v>0</v>
      </c>
    </row>
    <row r="86" spans="1:39" hidden="1" x14ac:dyDescent="0.25">
      <c r="A86" s="1" t="s">
        <v>268</v>
      </c>
      <c r="B86" s="3">
        <f>B56</f>
        <v>0</v>
      </c>
      <c r="C86" s="3">
        <f>$B86*C85</f>
        <v>0</v>
      </c>
      <c r="D86" s="3">
        <f t="shared" ref="D86:K86" si="62">$B86*D85</f>
        <v>0</v>
      </c>
      <c r="E86" s="3">
        <f t="shared" si="62"/>
        <v>0</v>
      </c>
      <c r="F86" s="3">
        <f t="shared" si="62"/>
        <v>0</v>
      </c>
      <c r="G86" s="3">
        <f t="shared" si="62"/>
        <v>0</v>
      </c>
      <c r="H86" s="3">
        <f t="shared" si="62"/>
        <v>0</v>
      </c>
      <c r="I86" s="3">
        <f t="shared" si="62"/>
        <v>0</v>
      </c>
      <c r="J86" s="3">
        <f t="shared" si="62"/>
        <v>0</v>
      </c>
      <c r="K86" s="3">
        <f t="shared" si="62"/>
        <v>0</v>
      </c>
    </row>
    <row r="87" spans="1:39" ht="30" hidden="1" x14ac:dyDescent="0.25">
      <c r="A87" s="310" t="s">
        <v>285</v>
      </c>
      <c r="C87" s="2">
        <f>IF(C84&gt;C86,C84-C86,0)</f>
        <v>506</v>
      </c>
      <c r="D87" s="2">
        <f t="shared" ref="D87:K87" si="63">IF(D84&gt;D86,D84-D86,0)</f>
        <v>506</v>
      </c>
      <c r="E87" s="2">
        <f t="shared" si="63"/>
        <v>0</v>
      </c>
      <c r="F87" s="2">
        <f t="shared" si="63"/>
        <v>0</v>
      </c>
      <c r="G87" s="2">
        <f t="shared" si="63"/>
        <v>0</v>
      </c>
      <c r="H87" s="2">
        <f t="shared" si="63"/>
        <v>0</v>
      </c>
      <c r="I87" s="2">
        <f t="shared" si="63"/>
        <v>0</v>
      </c>
      <c r="J87" s="2">
        <f t="shared" si="63"/>
        <v>0</v>
      </c>
      <c r="K87" s="2">
        <f t="shared" si="63"/>
        <v>0</v>
      </c>
    </row>
    <row r="88" spans="1:39" hidden="1" x14ac:dyDescent="0.25"/>
    <row r="89" spans="1:39" hidden="1" x14ac:dyDescent="0.25"/>
    <row r="90" spans="1:39" hidden="1" x14ac:dyDescent="0.25"/>
    <row r="91" spans="1:39" hidden="1" x14ac:dyDescent="0.25"/>
    <row r="92" spans="1:39" hidden="1" x14ac:dyDescent="0.25"/>
    <row r="93" spans="1:39" hidden="1" x14ac:dyDescent="0.25"/>
    <row r="94" spans="1:39" ht="30" hidden="1" x14ac:dyDescent="0.25">
      <c r="A94" s="1" t="s">
        <v>436</v>
      </c>
      <c r="B94" t="s">
        <v>437</v>
      </c>
      <c r="C94" s="3">
        <f>E94+F94+G94+H94+I94+J94+K94</f>
        <v>0</v>
      </c>
      <c r="E94" s="2">
        <f>IF(E38&gt;0,E47,0)</f>
        <v>0</v>
      </c>
      <c r="F94" s="2">
        <f t="shared" ref="F94:K94" si="64">IF(F38&gt;0,F47,0)</f>
        <v>0</v>
      </c>
      <c r="G94" s="2">
        <f t="shared" si="64"/>
        <v>0</v>
      </c>
      <c r="H94" s="2">
        <f t="shared" si="64"/>
        <v>0</v>
      </c>
      <c r="I94" s="2">
        <f t="shared" si="64"/>
        <v>0</v>
      </c>
      <c r="J94" s="2">
        <f t="shared" si="64"/>
        <v>0</v>
      </c>
      <c r="K94" s="2">
        <f t="shared" si="64"/>
        <v>0</v>
      </c>
      <c r="M94" t="s">
        <v>415</v>
      </c>
      <c r="N94">
        <f>O94</f>
        <v>603</v>
      </c>
      <c r="O94">
        <f>VLOOKUP(B1,N96:O103,2,FALSE)</f>
        <v>603</v>
      </c>
    </row>
    <row r="95" spans="1:39" hidden="1" x14ac:dyDescent="0.25"/>
    <row r="96" spans="1:39" x14ac:dyDescent="0.25">
      <c r="N96">
        <v>2026</v>
      </c>
      <c r="O96">
        <v>603</v>
      </c>
    </row>
    <row r="97" spans="14:15" x14ac:dyDescent="0.25">
      <c r="N97">
        <v>2025</v>
      </c>
      <c r="O97">
        <v>556</v>
      </c>
    </row>
    <row r="98" spans="14:15" x14ac:dyDescent="0.25">
      <c r="N98">
        <v>2024</v>
      </c>
      <c r="O98">
        <v>538</v>
      </c>
    </row>
    <row r="99" spans="14:15" x14ac:dyDescent="0.25">
      <c r="N99" s="13" t="s">
        <v>1</v>
      </c>
      <c r="O99">
        <v>520</v>
      </c>
    </row>
    <row r="100" spans="14:15" x14ac:dyDescent="0.25">
      <c r="N100">
        <v>2023</v>
      </c>
      <c r="O100">
        <v>100</v>
      </c>
    </row>
    <row r="101" spans="14:15" x14ac:dyDescent="0.25">
      <c r="N101">
        <v>2022</v>
      </c>
      <c r="O101">
        <v>100</v>
      </c>
    </row>
    <row r="102" spans="14:15" x14ac:dyDescent="0.25">
      <c r="N102">
        <v>2021</v>
      </c>
      <c r="O102">
        <v>100</v>
      </c>
    </row>
    <row r="103" spans="14:15" x14ac:dyDescent="0.25">
      <c r="N103">
        <v>2020</v>
      </c>
      <c r="O103">
        <v>100</v>
      </c>
    </row>
  </sheetData>
  <sheetProtection algorithmName="SHA-512" hashValue="tNJyRA7u6f+hpuVDw/GxYPVfyOAURgjBhvmoLbOf4Op+j4Q0tw3Ai1dwtxXB8fKTUfmv4fN0e6nn9/Lh1ayg7A==" saltValue="WMtGoyTM9HKjnsFPlKKI7g==" spinCount="100000" sheet="1" selectLockedCells="1"/>
  <mergeCells count="12">
    <mergeCell ref="AE4:AH4"/>
    <mergeCell ref="L32:N32"/>
    <mergeCell ref="M50:R50"/>
    <mergeCell ref="M52:R52"/>
    <mergeCell ref="A65:F65"/>
    <mergeCell ref="M61:N61"/>
    <mergeCell ref="R1:U1"/>
    <mergeCell ref="A83:B83"/>
    <mergeCell ref="A66:C66"/>
    <mergeCell ref="M48:R48"/>
    <mergeCell ref="M49:R49"/>
    <mergeCell ref="M3:N3"/>
  </mergeCells>
  <phoneticPr fontId="6" type="noConversion"/>
  <conditionalFormatting sqref="A64">
    <cfRule type="expression" dxfId="1" priority="9">
      <formula>$B$1&lt;&gt;"ab 7/2022"</formula>
    </cfRule>
  </conditionalFormatting>
  <conditionalFormatting sqref="B63">
    <cfRule type="expression" dxfId="0" priority="8">
      <formula>$B$63=0</formula>
    </cfRule>
  </conditionalFormatting>
  <dataValidations xWindow="761" yWindow="540" count="5">
    <dataValidation allowBlank="1" showInputMessage="1" showErrorMessage="1" promptTitle="Grün" prompt="Eingabe nur in grüne Felder möglich !" sqref="A85:A86 A4:B4 AN36:XFD36 AI11:XFD11 A10:B10 Q11:AD11 A13:O13 A25:B31 A35:B35 AN53:XFD56 AI4:XFD4 N9:AD9 Q24:XFD24 AI9:XFD9 AG44:AM47 A36:AE36 Q13:XFD13 A9:L9 A11:L11 E4:L4 AF51:AF54 A72:K72 AI31:AM35 A24:O24 N4:AD4 AN32:XFD34 A53:AE56 A32:AE34 AG34:AH35 C4:D8 N11:O11 E5:K8 O26 Q25:Q26" xr:uid="{00000000-0002-0000-0300-000000000000}"/>
    <dataValidation allowBlank="1" showInputMessage="1" showErrorMessage="1" promptTitle="Grüne" prompt="Eingabe nur in grüne Felder möglich !" sqref="A37:B38 A42:A44 B42:B46 A48:B49 E49:K49 AN41:XFD41 AG38:AM38 A47:AE47 AF55:AF57 AF45 AN63:XFD64 AF39 AN57:BS57 B62 C46:K46 BT57:XFD60 AN60:BS60 A41:AE41 A57:A62 W63:AE64 AN47:XFD47 AG48:AM50 B57:AE60 A63:L64" xr:uid="{00000000-0002-0000-0300-000001000000}"/>
    <dataValidation allowBlank="1" showErrorMessage="1" sqref="AE4:AH12" xr:uid="{00000000-0002-0000-0300-000002000000}"/>
    <dataValidation type="list" allowBlank="1" showInputMessage="1" showErrorMessage="1" sqref="B1" xr:uid="{00000000-0002-0000-0300-000003000000}">
      <formula1>$M$4:$M$11</formula1>
    </dataValidation>
    <dataValidation type="whole" allowBlank="1" showInputMessage="1" showErrorMessage="1" sqref="E2:K2" xr:uid="{00000000-0002-0000-0300-000004000000}">
      <formula1>1</formula1>
      <formula2>24</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locked="0" defaultSize="0" autoFill="0" autoLine="0" autoPict="0">
                <anchor moveWithCells="1">
                  <from>
                    <xdr:col>2</xdr:col>
                    <xdr:colOff>695325</xdr:colOff>
                    <xdr:row>1</xdr:row>
                    <xdr:rowOff>47625</xdr:rowOff>
                  </from>
                  <to>
                    <xdr:col>2</xdr:col>
                    <xdr:colOff>885825</xdr:colOff>
                    <xdr:row>1</xdr:row>
                    <xdr:rowOff>228600</xdr:rowOff>
                  </to>
                </anchor>
              </controlPr>
            </control>
          </mc:Choice>
        </mc:AlternateContent>
        <mc:AlternateContent xmlns:mc="http://schemas.openxmlformats.org/markup-compatibility/2006">
          <mc:Choice Requires="x14">
            <control shapeId="18438" r:id="rId5" name="Check Box 6">
              <controlPr locked="0" defaultSize="0" autoFill="0" autoLine="0" autoPict="0">
                <anchor moveWithCells="1">
                  <from>
                    <xdr:col>3</xdr:col>
                    <xdr:colOff>695325</xdr:colOff>
                    <xdr:row>1</xdr:row>
                    <xdr:rowOff>47625</xdr:rowOff>
                  </from>
                  <to>
                    <xdr:col>3</xdr:col>
                    <xdr:colOff>885825</xdr:colOff>
                    <xdr:row>1</xdr:row>
                    <xdr:rowOff>228600</xdr:rowOff>
                  </to>
                </anchor>
              </controlPr>
            </control>
          </mc:Choice>
        </mc:AlternateContent>
        <mc:AlternateContent xmlns:mc="http://schemas.openxmlformats.org/markup-compatibility/2006">
          <mc:Choice Requires="x14">
            <control shapeId="18441" r:id="rId6" name="Check Box 9">
              <controlPr locked="0" defaultSize="0" autoFill="0" autoLine="0" autoPict="0">
                <anchor moveWithCells="1">
                  <from>
                    <xdr:col>1</xdr:col>
                    <xdr:colOff>257175</xdr:colOff>
                    <xdr:row>4</xdr:row>
                    <xdr:rowOff>0</xdr:rowOff>
                  </from>
                  <to>
                    <xdr:col>1</xdr:col>
                    <xdr:colOff>447675</xdr:colOff>
                    <xdr:row>5</xdr:row>
                    <xdr:rowOff>47625</xdr:rowOff>
                  </to>
                </anchor>
              </controlPr>
            </control>
          </mc:Choice>
        </mc:AlternateContent>
        <mc:AlternateContent xmlns:mc="http://schemas.openxmlformats.org/markup-compatibility/2006">
          <mc:Choice Requires="x14">
            <control shapeId="18442" r:id="rId7" name="Check Box 10">
              <controlPr locked="0" defaultSize="0" autoFill="0" autoLine="0" autoPict="0">
                <anchor moveWithCells="1">
                  <from>
                    <xdr:col>2</xdr:col>
                    <xdr:colOff>695325</xdr:colOff>
                    <xdr:row>1</xdr:row>
                    <xdr:rowOff>47625</xdr:rowOff>
                  </from>
                  <to>
                    <xdr:col>2</xdr:col>
                    <xdr:colOff>885825</xdr:colOff>
                    <xdr:row>1</xdr:row>
                    <xdr:rowOff>228600</xdr:rowOff>
                  </to>
                </anchor>
              </controlPr>
            </control>
          </mc:Choice>
        </mc:AlternateContent>
        <mc:AlternateContent xmlns:mc="http://schemas.openxmlformats.org/markup-compatibility/2006">
          <mc:Choice Requires="x14">
            <control shapeId="18443" r:id="rId8" name="Check Box 11">
              <controlPr locked="0" defaultSize="0" autoFill="0" autoLine="0" autoPict="0">
                <anchor moveWithCells="1">
                  <from>
                    <xdr:col>3</xdr:col>
                    <xdr:colOff>695325</xdr:colOff>
                    <xdr:row>1</xdr:row>
                    <xdr:rowOff>47625</xdr:rowOff>
                  </from>
                  <to>
                    <xdr:col>3</xdr:col>
                    <xdr:colOff>885825</xdr:colOff>
                    <xdr:row>1</xdr:row>
                    <xdr:rowOff>228600</xdr:rowOff>
                  </to>
                </anchor>
              </controlPr>
            </control>
          </mc:Choice>
        </mc:AlternateContent>
        <mc:AlternateContent xmlns:mc="http://schemas.openxmlformats.org/markup-compatibility/2006">
          <mc:Choice Requires="x14">
            <control shapeId="18444" r:id="rId9" name="Check Box 12">
              <controlPr locked="0" defaultSize="0" autoFill="0" autoLine="0" autoPict="0">
                <anchor moveWithCells="1">
                  <from>
                    <xdr:col>3</xdr:col>
                    <xdr:colOff>609600</xdr:colOff>
                    <xdr:row>53</xdr:row>
                    <xdr:rowOff>9525</xdr:rowOff>
                  </from>
                  <to>
                    <xdr:col>3</xdr:col>
                    <xdr:colOff>866775</xdr:colOff>
                    <xdr:row>54</xdr:row>
                    <xdr:rowOff>28575</xdr:rowOff>
                  </to>
                </anchor>
              </controlPr>
            </control>
          </mc:Choice>
        </mc:AlternateContent>
        <mc:AlternateContent xmlns:mc="http://schemas.openxmlformats.org/markup-compatibility/2006">
          <mc:Choice Requires="x14">
            <control shapeId="18445" r:id="rId10" name="Check Box 13">
              <controlPr defaultSize="0" autoFill="0" autoLine="0" autoPict="0" altText="">
                <anchor moveWithCells="1">
                  <from>
                    <xdr:col>2</xdr:col>
                    <xdr:colOff>352425</xdr:colOff>
                    <xdr:row>2</xdr:row>
                    <xdr:rowOff>76200</xdr:rowOff>
                  </from>
                  <to>
                    <xdr:col>2</xdr:col>
                    <xdr:colOff>533400</xdr:colOff>
                    <xdr:row>2</xdr:row>
                    <xdr:rowOff>200025</xdr:rowOff>
                  </to>
                </anchor>
              </controlPr>
            </control>
          </mc:Choice>
        </mc:AlternateContent>
        <mc:AlternateContent xmlns:mc="http://schemas.openxmlformats.org/markup-compatibility/2006">
          <mc:Choice Requires="x14">
            <control shapeId="18446" r:id="rId11" name="Check Box 14">
              <controlPr defaultSize="0" autoFill="0" autoLine="0" autoPict="0" altText="">
                <anchor moveWithCells="1">
                  <from>
                    <xdr:col>3</xdr:col>
                    <xdr:colOff>314325</xdr:colOff>
                    <xdr:row>2</xdr:row>
                    <xdr:rowOff>47625</xdr:rowOff>
                  </from>
                  <to>
                    <xdr:col>3</xdr:col>
                    <xdr:colOff>495300</xdr:colOff>
                    <xdr:row>2</xdr:row>
                    <xdr:rowOff>238125</xdr:rowOff>
                  </to>
                </anchor>
              </controlPr>
            </control>
          </mc:Choice>
        </mc:AlternateContent>
        <mc:AlternateContent xmlns:mc="http://schemas.openxmlformats.org/markup-compatibility/2006">
          <mc:Choice Requires="x14">
            <control shapeId="18447" r:id="rId12" name="Check Box 15">
              <controlPr defaultSize="0" autoFill="0" autoLine="0" autoPict="0" altText="">
                <anchor moveWithCells="1">
                  <from>
                    <xdr:col>4</xdr:col>
                    <xdr:colOff>485775</xdr:colOff>
                    <xdr:row>2</xdr:row>
                    <xdr:rowOff>66675</xdr:rowOff>
                  </from>
                  <to>
                    <xdr:col>4</xdr:col>
                    <xdr:colOff>638175</xdr:colOff>
                    <xdr:row>2</xdr:row>
                    <xdr:rowOff>228600</xdr:rowOff>
                  </to>
                </anchor>
              </controlPr>
            </control>
          </mc:Choice>
        </mc:AlternateContent>
        <mc:AlternateContent xmlns:mc="http://schemas.openxmlformats.org/markup-compatibility/2006">
          <mc:Choice Requires="x14">
            <control shapeId="18448" r:id="rId13" name="Check Box 16">
              <controlPr defaultSize="0" autoFill="0" autoLine="0" autoPict="0" altText="">
                <anchor moveWithCells="1">
                  <from>
                    <xdr:col>5</xdr:col>
                    <xdr:colOff>523875</xdr:colOff>
                    <xdr:row>2</xdr:row>
                    <xdr:rowOff>38100</xdr:rowOff>
                  </from>
                  <to>
                    <xdr:col>5</xdr:col>
                    <xdr:colOff>733425</xdr:colOff>
                    <xdr:row>2</xdr:row>
                    <xdr:rowOff>238125</xdr:rowOff>
                  </to>
                </anchor>
              </controlPr>
            </control>
          </mc:Choice>
        </mc:AlternateContent>
        <mc:AlternateContent xmlns:mc="http://schemas.openxmlformats.org/markup-compatibility/2006">
          <mc:Choice Requires="x14">
            <control shapeId="18449" r:id="rId14" name="Check Box 17">
              <controlPr defaultSize="0" autoFill="0" autoLine="0" autoPict="0" altText="">
                <anchor moveWithCells="1">
                  <from>
                    <xdr:col>6</xdr:col>
                    <xdr:colOff>428625</xdr:colOff>
                    <xdr:row>2</xdr:row>
                    <xdr:rowOff>47625</xdr:rowOff>
                  </from>
                  <to>
                    <xdr:col>6</xdr:col>
                    <xdr:colOff>638175</xdr:colOff>
                    <xdr:row>2</xdr:row>
                    <xdr:rowOff>257175</xdr:rowOff>
                  </to>
                </anchor>
              </controlPr>
            </control>
          </mc:Choice>
        </mc:AlternateContent>
        <mc:AlternateContent xmlns:mc="http://schemas.openxmlformats.org/markup-compatibility/2006">
          <mc:Choice Requires="x14">
            <control shapeId="18450" r:id="rId15" name="Check Box 18">
              <controlPr locked="0" defaultSize="0" autoFill="0" autoLine="0" autoPict="0" altText="">
                <anchor moveWithCells="1">
                  <from>
                    <xdr:col>7</xdr:col>
                    <xdr:colOff>342900</xdr:colOff>
                    <xdr:row>2</xdr:row>
                    <xdr:rowOff>47625</xdr:rowOff>
                  </from>
                  <to>
                    <xdr:col>7</xdr:col>
                    <xdr:colOff>561975</xdr:colOff>
                    <xdr:row>2</xdr:row>
                    <xdr:rowOff>266700</xdr:rowOff>
                  </to>
                </anchor>
              </controlPr>
            </control>
          </mc:Choice>
        </mc:AlternateContent>
        <mc:AlternateContent xmlns:mc="http://schemas.openxmlformats.org/markup-compatibility/2006">
          <mc:Choice Requires="x14">
            <control shapeId="18451" r:id="rId16" name="Check Box 19">
              <controlPr defaultSize="0" autoFill="0" autoLine="0" autoPict="0" altText="">
                <anchor moveWithCells="1">
                  <from>
                    <xdr:col>8</xdr:col>
                    <xdr:colOff>295275</xdr:colOff>
                    <xdr:row>2</xdr:row>
                    <xdr:rowOff>66675</xdr:rowOff>
                  </from>
                  <to>
                    <xdr:col>8</xdr:col>
                    <xdr:colOff>466725</xdr:colOff>
                    <xdr:row>2</xdr:row>
                    <xdr:rowOff>257175</xdr:rowOff>
                  </to>
                </anchor>
              </controlPr>
            </control>
          </mc:Choice>
        </mc:AlternateContent>
        <mc:AlternateContent xmlns:mc="http://schemas.openxmlformats.org/markup-compatibility/2006">
          <mc:Choice Requires="x14">
            <control shapeId="18452" r:id="rId17" name="Check Box 20">
              <controlPr locked="0" defaultSize="0" autoFill="0" autoLine="0" autoPict="0" altText="">
                <anchor moveWithCells="1">
                  <from>
                    <xdr:col>9</xdr:col>
                    <xdr:colOff>419100</xdr:colOff>
                    <xdr:row>2</xdr:row>
                    <xdr:rowOff>85725</xdr:rowOff>
                  </from>
                  <to>
                    <xdr:col>9</xdr:col>
                    <xdr:colOff>600075</xdr:colOff>
                    <xdr:row>2</xdr:row>
                    <xdr:rowOff>228600</xdr:rowOff>
                  </to>
                </anchor>
              </controlPr>
            </control>
          </mc:Choice>
        </mc:AlternateContent>
        <mc:AlternateContent xmlns:mc="http://schemas.openxmlformats.org/markup-compatibility/2006">
          <mc:Choice Requires="x14">
            <control shapeId="18453" r:id="rId18" name="Check Box 21">
              <controlPr defaultSize="0" autoFill="0" autoLine="0" autoPict="0" altText="">
                <anchor moveWithCells="1">
                  <from>
                    <xdr:col>10</xdr:col>
                    <xdr:colOff>447675</xdr:colOff>
                    <xdr:row>2</xdr:row>
                    <xdr:rowOff>47625</xdr:rowOff>
                  </from>
                  <to>
                    <xdr:col>10</xdr:col>
                    <xdr:colOff>647700</xdr:colOff>
                    <xdr:row>2</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4"/>
  <dimension ref="A1:Q33"/>
  <sheetViews>
    <sheetView zoomScale="160" zoomScaleNormal="160" zoomScaleSheetLayoutView="140" workbookViewId="0">
      <pane ySplit="2" topLeftCell="A3" activePane="bottomLeft" state="frozen"/>
      <selection pane="bottomLeft" activeCell="A25" sqref="A25"/>
    </sheetView>
    <sheetView workbookViewId="1">
      <selection sqref="A1:K1"/>
    </sheetView>
  </sheetViews>
  <sheetFormatPr baseColWidth="10" defaultColWidth="11.42578125" defaultRowHeight="15" x14ac:dyDescent="0.25"/>
  <cols>
    <col min="1" max="1" width="68.5703125" customWidth="1"/>
    <col min="11" max="11" width="11.42578125" customWidth="1"/>
    <col min="12" max="17" width="11.42578125" hidden="1" customWidth="1"/>
    <col min="18" max="18" width="11.42578125" customWidth="1"/>
  </cols>
  <sheetData>
    <row r="1" spans="1:17" ht="15.75" x14ac:dyDescent="0.25">
      <c r="A1" s="444" t="s">
        <v>286</v>
      </c>
      <c r="B1" s="444"/>
      <c r="C1" s="444"/>
      <c r="D1" s="444"/>
      <c r="E1" s="444"/>
      <c r="F1" s="444"/>
      <c r="G1" s="444"/>
      <c r="H1" s="444"/>
      <c r="I1" s="444"/>
      <c r="J1" s="444"/>
      <c r="K1" s="444"/>
    </row>
    <row r="2" spans="1:17" x14ac:dyDescent="0.25">
      <c r="A2" t="s">
        <v>287</v>
      </c>
      <c r="B2" s="7" t="s">
        <v>243</v>
      </c>
      <c r="C2" s="7" t="s">
        <v>244</v>
      </c>
      <c r="D2" s="7"/>
      <c r="E2" s="7"/>
      <c r="F2" s="7"/>
      <c r="G2" s="7"/>
    </row>
    <row r="3" spans="1:17" x14ac:dyDescent="0.25">
      <c r="A3" t="s">
        <v>288</v>
      </c>
      <c r="B3" s="7"/>
      <c r="C3" s="9"/>
      <c r="D3" s="9"/>
      <c r="E3" s="9"/>
      <c r="F3" s="9"/>
      <c r="G3" s="9"/>
      <c r="L3" s="24" t="b">
        <v>0</v>
      </c>
      <c r="M3" s="24" t="b">
        <v>0</v>
      </c>
      <c r="N3" s="24" t="b">
        <v>0</v>
      </c>
      <c r="O3" s="24" t="b">
        <v>0</v>
      </c>
      <c r="P3" s="24" t="b">
        <v>0</v>
      </c>
      <c r="Q3" s="24" t="b">
        <v>0</v>
      </c>
    </row>
    <row r="4" spans="1:17" ht="6" customHeight="1" x14ac:dyDescent="0.25">
      <c r="B4" s="7"/>
      <c r="C4" s="9"/>
      <c r="D4" s="9"/>
      <c r="E4" s="9"/>
      <c r="F4" s="9"/>
      <c r="G4" s="9"/>
      <c r="L4" s="24"/>
      <c r="M4" s="24"/>
      <c r="N4" s="24"/>
      <c r="O4" s="24"/>
      <c r="P4" s="24"/>
      <c r="Q4" s="24"/>
    </row>
    <row r="5" spans="1:17" x14ac:dyDescent="0.25">
      <c r="A5" t="s">
        <v>289</v>
      </c>
      <c r="B5" s="33">
        <v>0</v>
      </c>
      <c r="C5" s="33">
        <v>0</v>
      </c>
      <c r="D5" s="33">
        <v>0</v>
      </c>
      <c r="E5" s="33">
        <v>0</v>
      </c>
      <c r="F5" s="33">
        <v>0</v>
      </c>
      <c r="G5" s="33">
        <v>0</v>
      </c>
    </row>
    <row r="6" spans="1:17" x14ac:dyDescent="0.25">
      <c r="A6" t="s">
        <v>290</v>
      </c>
      <c r="B6" s="7">
        <v>0</v>
      </c>
      <c r="C6" s="7">
        <v>0</v>
      </c>
      <c r="D6" s="7">
        <v>0</v>
      </c>
      <c r="E6" s="7">
        <v>0</v>
      </c>
      <c r="F6" s="7">
        <v>0</v>
      </c>
      <c r="G6" s="7">
        <v>0</v>
      </c>
    </row>
    <row r="7" spans="1:17" x14ac:dyDescent="0.25">
      <c r="A7" t="s">
        <v>291</v>
      </c>
      <c r="B7" s="7">
        <v>0</v>
      </c>
      <c r="C7" s="7">
        <v>0</v>
      </c>
      <c r="D7" s="7">
        <v>0</v>
      </c>
      <c r="E7" s="7">
        <v>0</v>
      </c>
      <c r="F7" s="7">
        <v>0</v>
      </c>
      <c r="G7" s="7">
        <v>0</v>
      </c>
    </row>
    <row r="8" spans="1:17" x14ac:dyDescent="0.25">
      <c r="A8" t="s">
        <v>429</v>
      </c>
      <c r="B8" s="7">
        <v>0</v>
      </c>
      <c r="C8" s="7">
        <v>0</v>
      </c>
      <c r="D8" s="7">
        <v>0</v>
      </c>
      <c r="E8" s="7">
        <v>0</v>
      </c>
      <c r="F8" s="7">
        <v>0</v>
      </c>
      <c r="G8" s="7">
        <v>0</v>
      </c>
    </row>
    <row r="9" spans="1:17" ht="30" x14ac:dyDescent="0.25">
      <c r="A9" s="1" t="s">
        <v>428</v>
      </c>
      <c r="B9" s="7">
        <v>0</v>
      </c>
      <c r="C9" s="7">
        <v>0</v>
      </c>
      <c r="D9" s="7">
        <v>0</v>
      </c>
      <c r="E9" s="7">
        <v>0</v>
      </c>
      <c r="F9" s="7">
        <v>0</v>
      </c>
      <c r="G9" s="7">
        <v>0</v>
      </c>
    </row>
    <row r="10" spans="1:17" ht="15.75" x14ac:dyDescent="0.25">
      <c r="A10" s="445" t="s">
        <v>292</v>
      </c>
      <c r="B10" s="445"/>
      <c r="C10" s="445"/>
      <c r="D10" s="445"/>
      <c r="E10" s="445"/>
      <c r="F10" s="445"/>
      <c r="G10" s="445"/>
      <c r="H10" s="445"/>
      <c r="I10" s="445"/>
      <c r="J10" s="445"/>
      <c r="K10" s="445"/>
    </row>
    <row r="11" spans="1:17" x14ac:dyDescent="0.25">
      <c r="A11" t="s">
        <v>293</v>
      </c>
      <c r="B11" s="33">
        <v>0</v>
      </c>
      <c r="C11" s="33"/>
      <c r="D11" s="33"/>
      <c r="E11" s="33"/>
      <c r="F11" s="33"/>
      <c r="G11" s="33"/>
    </row>
    <row r="12" spans="1:17" x14ac:dyDescent="0.25">
      <c r="A12" t="s">
        <v>294</v>
      </c>
      <c r="B12" s="60">
        <f t="shared" ref="B12:G12" si="0">B6*B8*0.2</f>
        <v>0</v>
      </c>
      <c r="C12" s="60">
        <f t="shared" si="0"/>
        <v>0</v>
      </c>
      <c r="D12" s="60">
        <f t="shared" si="0"/>
        <v>0</v>
      </c>
      <c r="E12" s="60">
        <f t="shared" si="0"/>
        <v>0</v>
      </c>
      <c r="F12" s="60">
        <f t="shared" si="0"/>
        <v>0</v>
      </c>
      <c r="G12" s="60">
        <f t="shared" si="0"/>
        <v>0</v>
      </c>
    </row>
    <row r="13" spans="1:17" x14ac:dyDescent="0.25">
      <c r="A13" t="s">
        <v>279</v>
      </c>
      <c r="B13" s="3">
        <v>30</v>
      </c>
      <c r="C13" s="3">
        <v>30</v>
      </c>
      <c r="D13" s="3">
        <v>30</v>
      </c>
      <c r="E13" s="3">
        <v>30</v>
      </c>
      <c r="F13" s="3">
        <v>30</v>
      </c>
      <c r="G13" s="3">
        <v>30</v>
      </c>
    </row>
    <row r="14" spans="1:17" ht="17.25" hidden="1" customHeight="1" x14ac:dyDescent="0.25">
      <c r="A14" s="1" t="s">
        <v>295</v>
      </c>
      <c r="B14" s="3">
        <f t="shared" ref="B14:G14" si="1">IF(L3=TRUE,IF(B7&gt;1,5,IF(B7&gt;0,0.015*B5,0.03*B5)),0)</f>
        <v>0</v>
      </c>
      <c r="C14" s="3">
        <f t="shared" si="1"/>
        <v>0</v>
      </c>
      <c r="D14" s="3">
        <f t="shared" si="1"/>
        <v>0</v>
      </c>
      <c r="E14" s="3">
        <f t="shared" si="1"/>
        <v>0</v>
      </c>
      <c r="F14" s="3">
        <f t="shared" si="1"/>
        <v>0</v>
      </c>
      <c r="G14" s="3">
        <f t="shared" si="1"/>
        <v>0</v>
      </c>
    </row>
    <row r="15" spans="1:17" ht="17.25" customHeight="1" x14ac:dyDescent="0.25">
      <c r="A15" s="1" t="s">
        <v>296</v>
      </c>
      <c r="B15" s="3">
        <f t="shared" ref="B15:G15" si="2">IF(AND(B14&lt;5,B14&gt;0),5,B14)</f>
        <v>0</v>
      </c>
      <c r="C15" s="3">
        <f t="shared" si="2"/>
        <v>0</v>
      </c>
      <c r="D15" s="3">
        <f t="shared" si="2"/>
        <v>0</v>
      </c>
      <c r="E15" s="3">
        <f t="shared" si="2"/>
        <v>0</v>
      </c>
      <c r="F15" s="3">
        <f t="shared" si="2"/>
        <v>0</v>
      </c>
      <c r="G15" s="3">
        <f t="shared" si="2"/>
        <v>0</v>
      </c>
    </row>
    <row r="16" spans="1:17" x14ac:dyDescent="0.25">
      <c r="A16" t="s">
        <v>431</v>
      </c>
      <c r="B16" s="3">
        <f t="shared" ref="B16:G16" si="3">B9*6</f>
        <v>0</v>
      </c>
      <c r="C16" s="3">
        <f t="shared" si="3"/>
        <v>0</v>
      </c>
      <c r="D16" s="3">
        <f t="shared" si="3"/>
        <v>0</v>
      </c>
      <c r="E16" s="3">
        <f t="shared" si="3"/>
        <v>0</v>
      </c>
      <c r="F16" s="3">
        <f t="shared" si="3"/>
        <v>0</v>
      </c>
      <c r="G16" s="3">
        <f t="shared" si="3"/>
        <v>0</v>
      </c>
    </row>
    <row r="17" spans="1:11" x14ac:dyDescent="0.25">
      <c r="A17" t="s">
        <v>430</v>
      </c>
      <c r="B17" s="10">
        <v>0</v>
      </c>
      <c r="C17" s="10">
        <v>0</v>
      </c>
      <c r="D17" s="10">
        <v>0</v>
      </c>
      <c r="E17" s="10">
        <v>0</v>
      </c>
      <c r="F17" s="10">
        <v>0</v>
      </c>
      <c r="G17" s="10">
        <v>0</v>
      </c>
    </row>
    <row r="18" spans="1:11" ht="30" x14ac:dyDescent="0.25">
      <c r="A18" s="1" t="s">
        <v>432</v>
      </c>
      <c r="B18" s="10">
        <v>0</v>
      </c>
      <c r="C18" s="10">
        <v>0</v>
      </c>
      <c r="D18" s="10">
        <v>0</v>
      </c>
      <c r="E18" s="10">
        <v>0</v>
      </c>
      <c r="F18" s="10">
        <v>0</v>
      </c>
      <c r="G18" s="10">
        <v>0</v>
      </c>
    </row>
    <row r="19" spans="1:11" ht="15.75" x14ac:dyDescent="0.25">
      <c r="A19" s="62" t="s">
        <v>297</v>
      </c>
      <c r="B19" s="61">
        <f t="shared" ref="B19:G19" si="4">IF(B11+B12+B13+B15+B16+B17+B18&gt;100,B11+B12+B13+B15+B16+B17+B18-100,0)</f>
        <v>0</v>
      </c>
      <c r="C19" s="61">
        <f t="shared" si="4"/>
        <v>0</v>
      </c>
      <c r="D19" s="61">
        <f t="shared" si="4"/>
        <v>0</v>
      </c>
      <c r="E19" s="61">
        <f t="shared" si="4"/>
        <v>0</v>
      </c>
      <c r="F19" s="61">
        <f t="shared" si="4"/>
        <v>0</v>
      </c>
      <c r="G19" s="61">
        <f t="shared" si="4"/>
        <v>0</v>
      </c>
    </row>
    <row r="20" spans="1:11" x14ac:dyDescent="0.25">
      <c r="A20" s="446" t="s">
        <v>298</v>
      </c>
      <c r="B20" s="446"/>
      <c r="C20" s="446"/>
      <c r="D20" s="446"/>
      <c r="E20" s="446"/>
      <c r="F20" s="446"/>
      <c r="G20" s="446"/>
      <c r="H20" s="446"/>
      <c r="I20" s="446"/>
      <c r="J20" s="446"/>
      <c r="K20" s="446"/>
    </row>
    <row r="23" spans="1:11" x14ac:dyDescent="0.25">
      <c r="A23" s="391" t="s">
        <v>24</v>
      </c>
      <c r="B23" s="391"/>
      <c r="C23" s="391"/>
      <c r="D23" s="391"/>
      <c r="E23" s="391"/>
      <c r="F23" s="391"/>
      <c r="G23" s="391"/>
    </row>
    <row r="24" spans="1:11" x14ac:dyDescent="0.25">
      <c r="A24" s="156"/>
      <c r="B24" s="103"/>
      <c r="C24" s="103"/>
      <c r="D24" s="103"/>
      <c r="E24" s="103"/>
      <c r="F24" s="103"/>
      <c r="G24" s="103"/>
    </row>
    <row r="25" spans="1:11" x14ac:dyDescent="0.25">
      <c r="A25" s="103"/>
      <c r="B25" s="103"/>
      <c r="C25" s="103"/>
      <c r="D25" s="103"/>
      <c r="E25" s="103"/>
      <c r="F25" s="103"/>
      <c r="G25" s="103"/>
    </row>
    <row r="26" spans="1:11" x14ac:dyDescent="0.25">
      <c r="A26" s="156"/>
      <c r="B26" s="156"/>
      <c r="C26" s="103"/>
      <c r="D26" s="103"/>
      <c r="E26" s="103"/>
      <c r="F26" s="103"/>
      <c r="G26" s="103"/>
    </row>
    <row r="27" spans="1:11" x14ac:dyDescent="0.25">
      <c r="A27" s="103"/>
      <c r="B27" s="103"/>
      <c r="C27" s="103"/>
      <c r="D27" s="103"/>
      <c r="E27" s="103"/>
      <c r="F27" s="103"/>
      <c r="G27" s="103"/>
    </row>
    <row r="28" spans="1:11" x14ac:dyDescent="0.25">
      <c r="A28" s="103"/>
      <c r="B28" s="103"/>
      <c r="C28" s="103"/>
      <c r="D28" s="103"/>
      <c r="E28" s="103"/>
      <c r="F28" s="103"/>
      <c r="G28" s="103"/>
    </row>
    <row r="29" spans="1:11" x14ac:dyDescent="0.25">
      <c r="A29" s="103"/>
      <c r="B29" s="103"/>
      <c r="C29" s="103"/>
      <c r="D29" s="103"/>
      <c r="E29" s="103"/>
      <c r="F29" s="103"/>
      <c r="G29" s="103"/>
    </row>
    <row r="30" spans="1:11" x14ac:dyDescent="0.25">
      <c r="A30" s="103"/>
      <c r="B30" s="103"/>
      <c r="C30" s="103"/>
      <c r="D30" s="103"/>
      <c r="E30" s="103"/>
      <c r="F30" s="103"/>
      <c r="G30" s="103"/>
    </row>
    <row r="31" spans="1:11" x14ac:dyDescent="0.25">
      <c r="A31" s="103"/>
      <c r="B31" s="103"/>
      <c r="C31" s="103"/>
      <c r="D31" s="103"/>
      <c r="E31" s="103"/>
      <c r="F31" s="103"/>
      <c r="G31" s="103"/>
    </row>
    <row r="32" spans="1:11" x14ac:dyDescent="0.25">
      <c r="A32" s="103"/>
      <c r="B32" s="103"/>
      <c r="C32" s="103"/>
      <c r="D32" s="103"/>
      <c r="E32" s="103"/>
      <c r="F32" s="103"/>
      <c r="G32" s="103"/>
    </row>
    <row r="33" spans="1:7" x14ac:dyDescent="0.25">
      <c r="A33" s="103"/>
      <c r="B33" s="103"/>
      <c r="C33" s="103"/>
      <c r="D33" s="103"/>
      <c r="E33" s="103"/>
      <c r="F33" s="103"/>
      <c r="G33" s="103"/>
    </row>
  </sheetData>
  <sheetProtection algorithmName="SHA-512" hashValue="uo46dpwkYSi1ACzAzGyl7qFsnUiNOaORCBgK02HysJb0HQR/Olp/2SxB6u2/G9vtVIm6McGMxRZHcbDGeEYmDQ==" saltValue="UkvgslZkpUoWofg2ZSAgng==" spinCount="100000" sheet="1" objects="1" scenarios="1" selectLockedCells="1"/>
  <mergeCells count="4">
    <mergeCell ref="A1:K1"/>
    <mergeCell ref="A10:K10"/>
    <mergeCell ref="A20:K20"/>
    <mergeCell ref="A23:G23"/>
  </mergeCells>
  <dataValidations count="1">
    <dataValidation allowBlank="1" showInputMessage="1" showErrorMessage="1" promptTitle="Grün" prompt="Eingabe nur in grüne Felder möglich !" sqref="A12:XFD16 A19:XFD20" xr:uid="{00000000-0002-0000-0400-000000000000}"/>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locked="0" defaultSize="0" autoFill="0" autoLine="0" autoPict="0">
                <anchor moveWithCells="1">
                  <from>
                    <xdr:col>1</xdr:col>
                    <xdr:colOff>304800</xdr:colOff>
                    <xdr:row>1</xdr:row>
                    <xdr:rowOff>142875</xdr:rowOff>
                  </from>
                  <to>
                    <xdr:col>1</xdr:col>
                    <xdr:colOff>542925</xdr:colOff>
                    <xdr:row>3</xdr:row>
                    <xdr:rowOff>47625</xdr:rowOff>
                  </to>
                </anchor>
              </controlPr>
            </control>
          </mc:Choice>
        </mc:AlternateContent>
        <mc:AlternateContent xmlns:mc="http://schemas.openxmlformats.org/markup-compatibility/2006">
          <mc:Choice Requires="x14">
            <control shapeId="79882" r:id="rId5" name="Check Box 10">
              <controlPr locked="0" defaultSize="0" autoFill="0" autoLine="0" autoPict="0">
                <anchor moveWithCells="1">
                  <from>
                    <xdr:col>2</xdr:col>
                    <xdr:colOff>257175</xdr:colOff>
                    <xdr:row>1</xdr:row>
                    <xdr:rowOff>104775</xdr:rowOff>
                  </from>
                  <to>
                    <xdr:col>2</xdr:col>
                    <xdr:colOff>600075</xdr:colOff>
                    <xdr:row>4</xdr:row>
                    <xdr:rowOff>28575</xdr:rowOff>
                  </to>
                </anchor>
              </controlPr>
            </control>
          </mc:Choice>
        </mc:AlternateContent>
        <mc:AlternateContent xmlns:mc="http://schemas.openxmlformats.org/markup-compatibility/2006">
          <mc:Choice Requires="x14">
            <control shapeId="79883" r:id="rId6" name="Check Box 11">
              <controlPr locked="0" defaultSize="0" autoFill="0" autoLine="0" autoPict="0">
                <anchor moveWithCells="1">
                  <from>
                    <xdr:col>3</xdr:col>
                    <xdr:colOff>304800</xdr:colOff>
                    <xdr:row>1</xdr:row>
                    <xdr:rowOff>142875</xdr:rowOff>
                  </from>
                  <to>
                    <xdr:col>3</xdr:col>
                    <xdr:colOff>733425</xdr:colOff>
                    <xdr:row>3</xdr:row>
                    <xdr:rowOff>47625</xdr:rowOff>
                  </to>
                </anchor>
              </controlPr>
            </control>
          </mc:Choice>
        </mc:AlternateContent>
        <mc:AlternateContent xmlns:mc="http://schemas.openxmlformats.org/markup-compatibility/2006">
          <mc:Choice Requires="x14">
            <control shapeId="79884" r:id="rId7" name="Check Box 12">
              <controlPr locked="0" defaultSize="0" autoFill="0" autoLine="0" autoPict="0">
                <anchor moveWithCells="1">
                  <from>
                    <xdr:col>4</xdr:col>
                    <xdr:colOff>295275</xdr:colOff>
                    <xdr:row>1</xdr:row>
                    <xdr:rowOff>180975</xdr:rowOff>
                  </from>
                  <to>
                    <xdr:col>4</xdr:col>
                    <xdr:colOff>600075</xdr:colOff>
                    <xdr:row>3</xdr:row>
                    <xdr:rowOff>28575</xdr:rowOff>
                  </to>
                </anchor>
              </controlPr>
            </control>
          </mc:Choice>
        </mc:AlternateContent>
        <mc:AlternateContent xmlns:mc="http://schemas.openxmlformats.org/markup-compatibility/2006">
          <mc:Choice Requires="x14">
            <control shapeId="79885" r:id="rId8" name="Check Box 13">
              <controlPr locked="0" defaultSize="0" autoFill="0" autoLine="0" autoPict="0">
                <anchor moveWithCells="1">
                  <from>
                    <xdr:col>5</xdr:col>
                    <xdr:colOff>276225</xdr:colOff>
                    <xdr:row>1</xdr:row>
                    <xdr:rowOff>180975</xdr:rowOff>
                  </from>
                  <to>
                    <xdr:col>5</xdr:col>
                    <xdr:colOff>581025</xdr:colOff>
                    <xdr:row>3</xdr:row>
                    <xdr:rowOff>9525</xdr:rowOff>
                  </to>
                </anchor>
              </controlPr>
            </control>
          </mc:Choice>
        </mc:AlternateContent>
        <mc:AlternateContent xmlns:mc="http://schemas.openxmlformats.org/markup-compatibility/2006">
          <mc:Choice Requires="x14">
            <control shapeId="79886" r:id="rId9" name="Check Box 14">
              <controlPr locked="0" defaultSize="0" autoFill="0" autoLine="0" autoPict="0">
                <anchor moveWithCells="1">
                  <from>
                    <xdr:col>6</xdr:col>
                    <xdr:colOff>228600</xdr:colOff>
                    <xdr:row>1</xdr:row>
                    <xdr:rowOff>180975</xdr:rowOff>
                  </from>
                  <to>
                    <xdr:col>6</xdr:col>
                    <xdr:colOff>533400</xdr:colOff>
                    <xdr:row>3</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6:Q46"/>
  <sheetViews>
    <sheetView topLeftCell="A13" zoomScale="130" zoomScaleNormal="130" workbookViewId="0">
      <selection activeCell="B24" sqref="B24"/>
    </sheetView>
    <sheetView workbookViewId="1"/>
  </sheetViews>
  <sheetFormatPr baseColWidth="10" defaultColWidth="11.42578125" defaultRowHeight="15" x14ac:dyDescent="0.25"/>
  <cols>
    <col min="1" max="1" width="56.140625" customWidth="1"/>
    <col min="2" max="2" width="20.85546875" customWidth="1"/>
    <col min="3" max="3" width="25" customWidth="1"/>
    <col min="4" max="4" width="18.5703125" customWidth="1"/>
    <col min="5" max="5" width="29.5703125" customWidth="1"/>
    <col min="6" max="6" width="18" customWidth="1"/>
    <col min="7" max="17" width="18" hidden="1" customWidth="1"/>
    <col min="18" max="18" width="18" customWidth="1"/>
  </cols>
  <sheetData>
    <row r="6" spans="1:14" s="26" customFormat="1" ht="40.5" customHeight="1" x14ac:dyDescent="0.25">
      <c r="D6" s="149" t="s">
        <v>299</v>
      </c>
      <c r="E6" s="149"/>
      <c r="F6" s="149"/>
      <c r="G6" s="26" t="s">
        <v>300</v>
      </c>
      <c r="H6" s="26" t="s">
        <v>253</v>
      </c>
      <c r="I6" s="26" t="s">
        <v>301</v>
      </c>
      <c r="J6" s="26" t="s">
        <v>253</v>
      </c>
      <c r="K6" s="26" t="s">
        <v>302</v>
      </c>
      <c r="L6" s="26" t="s">
        <v>253</v>
      </c>
      <c r="M6" s="26" t="s">
        <v>414</v>
      </c>
      <c r="N6" s="26" t="s">
        <v>253</v>
      </c>
    </row>
    <row r="7" spans="1:14" s="26" customFormat="1" ht="12" customHeight="1" x14ac:dyDescent="0.25">
      <c r="D7" s="149"/>
      <c r="E7" s="149"/>
      <c r="F7" s="149"/>
    </row>
    <row r="8" spans="1:14" ht="23.45" customHeight="1" x14ac:dyDescent="0.3">
      <c r="A8" s="136" t="s">
        <v>410</v>
      </c>
      <c r="B8" s="139">
        <v>1</v>
      </c>
      <c r="C8" s="26"/>
      <c r="D8" s="88">
        <f>IF(B8&lt;31,31-B8,32-B8)</f>
        <v>30</v>
      </c>
      <c r="E8" s="88"/>
      <c r="F8" s="88"/>
      <c r="G8" s="2">
        <v>283</v>
      </c>
      <c r="H8">
        <v>2.2599999999999998</v>
      </c>
      <c r="I8">
        <v>285</v>
      </c>
      <c r="J8">
        <v>2.2799999999999998</v>
      </c>
      <c r="K8">
        <v>318</v>
      </c>
      <c r="L8">
        <v>2.54</v>
      </c>
      <c r="M8">
        <v>357</v>
      </c>
      <c r="N8">
        <v>2.86</v>
      </c>
    </row>
    <row r="9" spans="1:14" x14ac:dyDescent="0.25">
      <c r="A9" s="136"/>
      <c r="B9" s="138" t="s">
        <v>303</v>
      </c>
      <c r="C9" s="138" t="s">
        <v>304</v>
      </c>
      <c r="D9" s="138" t="s">
        <v>305</v>
      </c>
      <c r="E9" s="138" t="s">
        <v>445</v>
      </c>
      <c r="G9" s="2">
        <v>309</v>
      </c>
      <c r="H9">
        <v>3.71</v>
      </c>
      <c r="I9">
        <v>311</v>
      </c>
      <c r="J9">
        <v>3.73</v>
      </c>
      <c r="K9">
        <v>348</v>
      </c>
      <c r="L9">
        <v>4.18</v>
      </c>
      <c r="M9">
        <v>390</v>
      </c>
      <c r="N9">
        <v>4.68</v>
      </c>
    </row>
    <row r="10" spans="1:14" x14ac:dyDescent="0.25">
      <c r="A10" s="137" t="s">
        <v>306</v>
      </c>
      <c r="B10" s="135">
        <v>283</v>
      </c>
      <c r="C10" s="135">
        <v>285</v>
      </c>
      <c r="D10" s="135">
        <v>318</v>
      </c>
      <c r="E10" s="135">
        <v>390</v>
      </c>
      <c r="G10" s="2">
        <v>373</v>
      </c>
      <c r="H10">
        <v>5.22</v>
      </c>
      <c r="I10">
        <v>376</v>
      </c>
      <c r="J10">
        <v>5.26</v>
      </c>
      <c r="K10">
        <v>420</v>
      </c>
      <c r="L10">
        <v>5.88</v>
      </c>
      <c r="M10">
        <v>471</v>
      </c>
      <c r="N10">
        <v>6.59</v>
      </c>
    </row>
    <row r="11" spans="1:14" ht="35.25" customHeight="1" x14ac:dyDescent="0.25">
      <c r="A11" s="137" t="s">
        <v>307</v>
      </c>
      <c r="B11" s="135">
        <v>309</v>
      </c>
      <c r="C11" s="135">
        <v>311</v>
      </c>
      <c r="D11" s="387">
        <f>VLOOKUP(D10,K14:L17,2,FALSE)</f>
        <v>348</v>
      </c>
      <c r="E11" s="387">
        <f>VLOOKUP(E10,M14:N17,2,FALSE)</f>
        <v>471</v>
      </c>
      <c r="G11" s="2">
        <v>357</v>
      </c>
      <c r="H11">
        <v>8.2100000000000009</v>
      </c>
      <c r="I11">
        <v>360</v>
      </c>
      <c r="J11">
        <v>8.2799999999999994</v>
      </c>
      <c r="K11">
        <v>402</v>
      </c>
      <c r="L11">
        <v>9.25</v>
      </c>
      <c r="M11">
        <v>451</v>
      </c>
      <c r="N11">
        <v>10.37</v>
      </c>
    </row>
    <row r="12" spans="1:14" x14ac:dyDescent="0.25">
      <c r="A12" t="s">
        <v>308</v>
      </c>
      <c r="B12" s="140">
        <f>(B11-B10)/30</f>
        <v>0.8666666666666667</v>
      </c>
      <c r="C12" s="2">
        <f>(C11-C10)/30</f>
        <v>0.8666666666666667</v>
      </c>
      <c r="D12" s="2">
        <f>(D11-D10)/30</f>
        <v>1</v>
      </c>
      <c r="E12" s="2">
        <f>(E11-E10)/30</f>
        <v>2.7</v>
      </c>
    </row>
    <row r="13" spans="1:14" ht="31.5" x14ac:dyDescent="0.35">
      <c r="A13" s="126" t="s">
        <v>309</v>
      </c>
      <c r="B13" s="127">
        <f>B12*D8</f>
        <v>26</v>
      </c>
      <c r="C13" s="127">
        <f>C12*D8</f>
        <v>26</v>
      </c>
      <c r="D13" s="127">
        <f>D12*D8</f>
        <v>30</v>
      </c>
      <c r="E13" s="127">
        <f>E12*D8</f>
        <v>81</v>
      </c>
      <c r="G13" s="3">
        <f>C11-C10/30</f>
        <v>301.5</v>
      </c>
    </row>
    <row r="14" spans="1:14" x14ac:dyDescent="0.25">
      <c r="K14">
        <v>318</v>
      </c>
      <c r="L14">
        <v>348</v>
      </c>
      <c r="M14">
        <v>357</v>
      </c>
      <c r="N14">
        <v>390</v>
      </c>
    </row>
    <row r="15" spans="1:14" x14ac:dyDescent="0.25">
      <c r="A15" t="s">
        <v>310</v>
      </c>
      <c r="B15" s="2">
        <f>VLOOKUP($B$10,$G$8:$H$11,2,FALSE)</f>
        <v>2.2599999999999998</v>
      </c>
      <c r="C15" s="2">
        <f>VLOOKUP($C$10,$I$8:$J$11,2,FALSE)</f>
        <v>2.2799999999999998</v>
      </c>
      <c r="D15" s="2">
        <f>VLOOKUP($D$10,$K$8:$L$11,2,FALSE)</f>
        <v>2.54</v>
      </c>
      <c r="E15" s="2">
        <f>VLOOKUP($E$10,M8:N11,2,FALSE)</f>
        <v>4.68</v>
      </c>
      <c r="K15">
        <v>348</v>
      </c>
      <c r="L15">
        <v>420</v>
      </c>
      <c r="M15">
        <v>390</v>
      </c>
      <c r="N15">
        <v>471</v>
      </c>
    </row>
    <row r="16" spans="1:14" x14ac:dyDescent="0.25">
      <c r="A16" t="s">
        <v>311</v>
      </c>
      <c r="B16" s="2">
        <f>VLOOKUP($B$11,$G$8:$H$11,2,FALSE)</f>
        <v>3.71</v>
      </c>
      <c r="C16" s="2">
        <f>VLOOKUP($C$11,$I$8:$J$11,2,FALSE)</f>
        <v>3.73</v>
      </c>
      <c r="D16" s="2">
        <f>VLOOKUP($D$11,$K$8:$L$11,2,FALSE)</f>
        <v>4.18</v>
      </c>
      <c r="E16" s="2">
        <f>VLOOKUP($E$11,M8:N11,2,FALSE)</f>
        <v>6.59</v>
      </c>
      <c r="K16">
        <v>420</v>
      </c>
      <c r="L16">
        <v>402</v>
      </c>
      <c r="M16">
        <v>471</v>
      </c>
      <c r="N16">
        <v>451</v>
      </c>
    </row>
    <row r="17" spans="1:17" x14ac:dyDescent="0.25">
      <c r="A17" t="s">
        <v>312</v>
      </c>
      <c r="B17" s="2">
        <f>ROUND((B16-B15)/30,2)</f>
        <v>0.05</v>
      </c>
      <c r="C17" s="2">
        <f>ROUND((C16-C15)/30,2)</f>
        <v>0.05</v>
      </c>
      <c r="D17" s="2">
        <f>ROUND((D16-D15)/30,2)</f>
        <v>0.05</v>
      </c>
      <c r="E17" s="2">
        <f>ROUND((E16-E15)/30,2)</f>
        <v>0.06</v>
      </c>
      <c r="K17">
        <v>402</v>
      </c>
      <c r="L17">
        <v>502</v>
      </c>
      <c r="M17">
        <v>451</v>
      </c>
      <c r="N17">
        <v>563</v>
      </c>
    </row>
    <row r="18" spans="1:17" x14ac:dyDescent="0.25">
      <c r="A18" t="s">
        <v>313</v>
      </c>
      <c r="B18" s="2">
        <f>B17*D8</f>
        <v>1.5</v>
      </c>
      <c r="C18" s="2">
        <f>C17*D8</f>
        <v>1.5</v>
      </c>
      <c r="D18" s="2">
        <f>D17*D8</f>
        <v>1.5</v>
      </c>
      <c r="E18" s="2">
        <f>E17*D8</f>
        <v>1.7999999999999998</v>
      </c>
    </row>
    <row r="19" spans="1:17" ht="31.5" x14ac:dyDescent="0.35">
      <c r="A19" s="126" t="s">
        <v>314</v>
      </c>
      <c r="B19" s="145">
        <f>B13+B18</f>
        <v>27.5</v>
      </c>
      <c r="C19" s="145">
        <f>C13+C18</f>
        <v>27.5</v>
      </c>
      <c r="D19" s="145">
        <f>D13+D18</f>
        <v>31.5</v>
      </c>
      <c r="E19" s="145">
        <f>E13+E18</f>
        <v>82.8</v>
      </c>
    </row>
    <row r="22" spans="1:17" ht="192.75" customHeight="1" x14ac:dyDescent="0.25"/>
    <row r="23" spans="1:17" ht="23.1" customHeight="1" x14ac:dyDescent="0.35">
      <c r="A23" s="133" t="s">
        <v>315</v>
      </c>
      <c r="C23" s="1"/>
      <c r="D23" s="1"/>
      <c r="E23" s="1"/>
      <c r="F23" s="1"/>
      <c r="G23" t="s">
        <v>316</v>
      </c>
      <c r="J23" t="s">
        <v>317</v>
      </c>
    </row>
    <row r="24" spans="1:17" x14ac:dyDescent="0.25">
      <c r="A24" s="13" t="s">
        <v>433</v>
      </c>
      <c r="B24" s="128">
        <v>16</v>
      </c>
      <c r="C24" s="388" t="s">
        <v>330</v>
      </c>
      <c r="G24" t="s">
        <v>319</v>
      </c>
      <c r="H24">
        <v>31</v>
      </c>
      <c r="J24">
        <f>VLOOKUP($C$24,$G$24:$H$36,2,FALSE)</f>
        <v>31</v>
      </c>
    </row>
    <row r="25" spans="1:17" x14ac:dyDescent="0.25">
      <c r="B25" t="s">
        <v>197</v>
      </c>
      <c r="C25" s="148">
        <v>2021</v>
      </c>
      <c r="D25" s="148">
        <v>2022</v>
      </c>
      <c r="E25" s="148">
        <v>2023</v>
      </c>
      <c r="F25" s="148">
        <v>2024</v>
      </c>
      <c r="G25" t="s">
        <v>320</v>
      </c>
      <c r="H25">
        <v>28</v>
      </c>
      <c r="J25" t="s">
        <v>321</v>
      </c>
      <c r="Q25" s="148" t="s">
        <v>322</v>
      </c>
    </row>
    <row r="26" spans="1:17" x14ac:dyDescent="0.25">
      <c r="B26" t="s">
        <v>323</v>
      </c>
      <c r="G26" t="s">
        <v>324</v>
      </c>
      <c r="H26">
        <v>29</v>
      </c>
      <c r="J26" s="13" t="str">
        <f>IF(B24&gt;J24/2,"ja","nein")</f>
        <v>ja</v>
      </c>
    </row>
    <row r="27" spans="1:17" ht="35.450000000000003" customHeight="1" x14ac:dyDescent="0.25">
      <c r="B27" s="129">
        <f>IF(J26="ja",B24-J30+J28,IF(AND(C24="Februar",B24=14),15,B24))</f>
        <v>15</v>
      </c>
      <c r="G27" t="s">
        <v>325</v>
      </c>
      <c r="H27">
        <v>31</v>
      </c>
      <c r="J27" t="s">
        <v>326</v>
      </c>
    </row>
    <row r="28" spans="1:17" ht="21.75" customHeight="1" x14ac:dyDescent="0.25">
      <c r="B28" s="141" t="s">
        <v>327</v>
      </c>
      <c r="G28" t="s">
        <v>328</v>
      </c>
      <c r="H28">
        <v>30</v>
      </c>
      <c r="J28">
        <f>IF(J24&lt;30,30-J24,0)</f>
        <v>0</v>
      </c>
    </row>
    <row r="29" spans="1:17" x14ac:dyDescent="0.25">
      <c r="B29" t="s">
        <v>329</v>
      </c>
      <c r="C29" s="132">
        <v>309</v>
      </c>
      <c r="D29" s="132">
        <v>311</v>
      </c>
      <c r="E29" s="132">
        <v>318</v>
      </c>
      <c r="F29" s="132">
        <v>357</v>
      </c>
      <c r="G29" t="s">
        <v>330</v>
      </c>
      <c r="H29">
        <v>31</v>
      </c>
      <c r="J29" t="s">
        <v>331</v>
      </c>
      <c r="Q29" s="132">
        <v>0</v>
      </c>
    </row>
    <row r="30" spans="1:17" x14ac:dyDescent="0.25">
      <c r="B30" s="130" t="s">
        <v>332</v>
      </c>
      <c r="C30" s="147">
        <f>IF(L30=TRUE,VLOOKUP(C29,$J$32:$K$35,2,FALSE),0)</f>
        <v>3.71</v>
      </c>
      <c r="D30" s="147">
        <f>IF(L30=TRUE,VLOOKUP(D29,M32:N35,2,FALSE),0)</f>
        <v>3.73</v>
      </c>
      <c r="E30" s="147">
        <f>IF(L30=TRUE,VLOOKUP(E29,K8:L11,2,FALSE),0)</f>
        <v>2.54</v>
      </c>
      <c r="F30" s="147">
        <f>IF(L30=TRUE,VLOOKUP(F29,M8:N11,2,FALSE),0)</f>
        <v>2.86</v>
      </c>
      <c r="G30" t="s">
        <v>333</v>
      </c>
      <c r="H30">
        <v>30</v>
      </c>
      <c r="J30">
        <f>IF(J24&gt;30,1,0)</f>
        <v>1</v>
      </c>
      <c r="L30" s="24" t="b">
        <v>1</v>
      </c>
      <c r="Q30" s="132">
        <v>0</v>
      </c>
    </row>
    <row r="31" spans="1:17" x14ac:dyDescent="0.25">
      <c r="B31" s="130"/>
      <c r="C31" s="88"/>
      <c r="D31" s="146"/>
      <c r="E31" s="146" t="s">
        <v>334</v>
      </c>
      <c r="F31" s="146"/>
      <c r="G31" t="s">
        <v>335</v>
      </c>
      <c r="H31">
        <v>31</v>
      </c>
      <c r="J31" t="s">
        <v>336</v>
      </c>
    </row>
    <row r="32" spans="1:17" x14ac:dyDescent="0.25">
      <c r="B32" s="130"/>
      <c r="C32" s="146" t="s">
        <v>337</v>
      </c>
      <c r="G32" t="s">
        <v>338</v>
      </c>
      <c r="H32">
        <v>31</v>
      </c>
      <c r="J32">
        <v>283</v>
      </c>
      <c r="K32">
        <f>ROUND(J32*0.008,2)</f>
        <v>2.2599999999999998</v>
      </c>
      <c r="M32">
        <v>285</v>
      </c>
      <c r="N32">
        <f>ROUND(M32*0.008,2)</f>
        <v>2.2799999999999998</v>
      </c>
    </row>
    <row r="33" spans="1:17" ht="31.5" x14ac:dyDescent="0.35">
      <c r="A33" s="126" t="s">
        <v>411</v>
      </c>
      <c r="B33" s="131"/>
      <c r="C33" s="131">
        <f>(C29+C30)/30*B27-(C29+C30)</f>
        <v>-156.35499999999999</v>
      </c>
      <c r="D33" s="131">
        <f>(D29+D30)/30*B27-(D29+D30)</f>
        <v>-157.36500000000001</v>
      </c>
      <c r="E33" s="131">
        <f>(E29+E30)/30*B27-(E29+E30)</f>
        <v>-160.27000000000001</v>
      </c>
      <c r="F33" s="131">
        <f>(F29+F30)/30*B27-(F29+F30)</f>
        <v>-179.93</v>
      </c>
      <c r="G33" t="s">
        <v>339</v>
      </c>
      <c r="H33">
        <v>30</v>
      </c>
      <c r="J33">
        <v>309</v>
      </c>
      <c r="K33">
        <f>ROUND(J33*0.012,2)</f>
        <v>3.71</v>
      </c>
      <c r="M33">
        <v>311</v>
      </c>
      <c r="N33">
        <f>ROUND(M33*0.012,2)</f>
        <v>3.73</v>
      </c>
      <c r="Q33" s="131">
        <f>(Q29+Q30)/30*B27-(Q29+Q30)</f>
        <v>0</v>
      </c>
    </row>
    <row r="34" spans="1:17" x14ac:dyDescent="0.25">
      <c r="G34" t="s">
        <v>340</v>
      </c>
      <c r="H34">
        <v>31</v>
      </c>
      <c r="J34">
        <v>373</v>
      </c>
      <c r="K34">
        <f>ROUND(J34*0.014,2)</f>
        <v>5.22</v>
      </c>
      <c r="M34">
        <v>376</v>
      </c>
      <c r="N34">
        <f>ROUND(M34*0.014,2)</f>
        <v>5.26</v>
      </c>
    </row>
    <row r="35" spans="1:17" x14ac:dyDescent="0.25">
      <c r="G35" t="s">
        <v>341</v>
      </c>
      <c r="H35">
        <v>30</v>
      </c>
      <c r="J35">
        <v>357</v>
      </c>
      <c r="K35">
        <f>ROUND(J35*0.023,2)</f>
        <v>8.2100000000000009</v>
      </c>
      <c r="M35">
        <v>360</v>
      </c>
      <c r="N35">
        <f>ROUND(M35*0.023,2)</f>
        <v>8.2799999999999994</v>
      </c>
    </row>
    <row r="36" spans="1:17" x14ac:dyDescent="0.25">
      <c r="G36" t="s">
        <v>318</v>
      </c>
      <c r="H36">
        <v>31</v>
      </c>
    </row>
    <row r="37" spans="1:17" x14ac:dyDescent="0.25">
      <c r="A37" s="142"/>
      <c r="B37" s="143"/>
      <c r="C37" s="144"/>
    </row>
    <row r="38" spans="1:17" x14ac:dyDescent="0.25">
      <c r="A38" s="103"/>
      <c r="B38" s="103"/>
      <c r="C38" s="103"/>
    </row>
    <row r="39" spans="1:17" x14ac:dyDescent="0.25">
      <c r="A39" s="103"/>
      <c r="B39" s="103"/>
      <c r="C39" s="103"/>
    </row>
    <row r="40" spans="1:17" x14ac:dyDescent="0.25">
      <c r="A40" s="103"/>
      <c r="B40" s="103"/>
      <c r="C40" s="103"/>
    </row>
    <row r="41" spans="1:17" x14ac:dyDescent="0.25">
      <c r="A41" s="103"/>
      <c r="B41" s="103"/>
      <c r="C41" s="103"/>
    </row>
    <row r="42" spans="1:17" x14ac:dyDescent="0.25">
      <c r="A42" s="103"/>
      <c r="B42" s="103"/>
      <c r="C42" s="103"/>
    </row>
    <row r="43" spans="1:17" x14ac:dyDescent="0.25">
      <c r="A43" s="103"/>
      <c r="B43" s="103"/>
      <c r="C43" s="103"/>
    </row>
    <row r="44" spans="1:17" x14ac:dyDescent="0.25">
      <c r="A44" s="103"/>
      <c r="B44" s="103"/>
      <c r="C44" s="103"/>
    </row>
    <row r="45" spans="1:17" x14ac:dyDescent="0.25">
      <c r="A45" s="103"/>
      <c r="B45" s="103"/>
      <c r="C45" s="103"/>
    </row>
    <row r="46" spans="1:17" x14ac:dyDescent="0.25">
      <c r="A46" s="103"/>
      <c r="B46" s="103"/>
      <c r="C46" s="103"/>
    </row>
  </sheetData>
  <sheetProtection algorithmName="SHA-512" hashValue="7SpB8dneZpuEcfgMnlSk3th8QZ0HIEem9+/Zr4ICZSSbARmlP7bSn+kluO3c8WopcG2Uc52YAhi22k10SLDTIw==" saltValue="NfS7UXPyvSj0n7q3uvTZMQ==" spinCount="100000" sheet="1" selectLockedCells="1"/>
  <phoneticPr fontId="6" type="noConversion"/>
  <dataValidations count="6">
    <dataValidation type="list" allowBlank="1" showInputMessage="1" showErrorMessage="1" sqref="B10:B11 C29" xr:uid="{00000000-0002-0000-0500-000000000000}">
      <formula1>$G$8:$G$11</formula1>
    </dataValidation>
    <dataValidation type="list" allowBlank="1" showInputMessage="1" showErrorMessage="1" sqref="C24" xr:uid="{00000000-0002-0000-0500-000001000000}">
      <formula1>$G$24:$G$36</formula1>
    </dataValidation>
    <dataValidation type="list" allowBlank="1" showInputMessage="1" showErrorMessage="1" sqref="C10:C11" xr:uid="{00000000-0002-0000-0500-000002000000}">
      <formula1>$I$8:$I$11</formula1>
    </dataValidation>
    <dataValidation type="list" allowBlank="1" showInputMessage="1" showErrorMessage="1" sqref="D29" xr:uid="{00000000-0002-0000-0500-000003000000}">
      <formula1>$M$32:$M$35</formula1>
    </dataValidation>
    <dataValidation type="list" allowBlank="1" showInputMessage="1" showErrorMessage="1" sqref="E29 D10" xr:uid="{00000000-0002-0000-0500-000004000000}">
      <formula1>$K$8:$K$11</formula1>
    </dataValidation>
    <dataValidation type="list" allowBlank="1" showInputMessage="1" showErrorMessage="1" sqref="E10 F29" xr:uid="{00000000-0002-0000-0500-000005000000}">
      <formula1>$M$8:$M$11</formula1>
    </dataValidation>
  </dataValidations>
  <pageMargins left="0.7" right="0.7" top="0.78740157499999996" bottom="0.78740157499999996"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80940" r:id="rId4" name="Check Box 44">
              <controlPr locked="0" defaultSize="0" autoFill="0" autoLine="0" autoPict="0">
                <anchor moveWithCells="1">
                  <from>
                    <xdr:col>1</xdr:col>
                    <xdr:colOff>561975</xdr:colOff>
                    <xdr:row>26</xdr:row>
                    <xdr:rowOff>419100</xdr:rowOff>
                  </from>
                  <to>
                    <xdr:col>1</xdr:col>
                    <xdr:colOff>838200</xdr:colOff>
                    <xdr:row>27</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dimension ref="A1:AB69"/>
  <sheetViews>
    <sheetView zoomScale="120" zoomScaleNormal="120" workbookViewId="0">
      <selection activeCell="O51" sqref="O51"/>
    </sheetView>
    <sheetView workbookViewId="1">
      <selection sqref="A1:O1"/>
    </sheetView>
  </sheetViews>
  <sheetFormatPr baseColWidth="10" defaultColWidth="11.42578125" defaultRowHeight="15" x14ac:dyDescent="0.25"/>
  <cols>
    <col min="1" max="1" width="18.42578125" customWidth="1"/>
    <col min="2" max="2" width="19.42578125" customWidth="1"/>
    <col min="3" max="3" width="12.140625" customWidth="1"/>
    <col min="4" max="4" width="19.85546875" bestFit="1" customWidth="1"/>
    <col min="5" max="7" width="10.42578125" hidden="1" customWidth="1"/>
    <col min="8" max="8" width="2.42578125" customWidth="1"/>
    <col min="9" max="9" width="21.5703125" bestFit="1" customWidth="1"/>
    <col min="10" max="10" width="19.85546875" customWidth="1"/>
    <col min="11" max="11" width="12.5703125" customWidth="1"/>
    <col min="12" max="12" width="15.85546875" customWidth="1"/>
    <col min="13" max="13" width="15" customWidth="1"/>
    <col min="15" max="15" width="19.5703125" style="213" customWidth="1"/>
    <col min="16" max="16" width="11.85546875" customWidth="1"/>
    <col min="17" max="18" width="11.42578125" hidden="1" customWidth="1"/>
    <col min="19" max="20" width="24.5703125" hidden="1" customWidth="1"/>
    <col min="21" max="21" width="24.5703125" style="234" hidden="1" customWidth="1"/>
    <col min="22" max="28" width="26" hidden="1" customWidth="1"/>
    <col min="29" max="38" width="11.42578125" customWidth="1"/>
  </cols>
  <sheetData>
    <row r="1" spans="1:28" ht="58.5" customHeight="1" x14ac:dyDescent="0.25">
      <c r="A1" s="399"/>
      <c r="B1" s="399"/>
      <c r="C1" s="399"/>
      <c r="D1" s="399"/>
      <c r="E1" s="399"/>
      <c r="F1" s="399"/>
      <c r="G1" s="399"/>
      <c r="H1" s="399"/>
      <c r="I1" s="399"/>
      <c r="J1" s="399"/>
      <c r="K1" s="399"/>
      <c r="L1" s="399"/>
      <c r="M1" s="399"/>
      <c r="N1" s="399"/>
      <c r="O1" s="399"/>
      <c r="P1" s="85"/>
      <c r="R1" t="s">
        <v>342</v>
      </c>
      <c r="S1" s="234">
        <f t="shared" ref="S1:AB1" si="0">B6/B8+B7*$D21/B8</f>
        <v>2913.3009803921568</v>
      </c>
      <c r="T1" s="234">
        <f t="shared" si="0"/>
        <v>2918.0013157894737</v>
      </c>
      <c r="U1" s="234">
        <f t="shared" si="0"/>
        <v>2773.6930612244901</v>
      </c>
      <c r="V1" s="234">
        <f t="shared" si="0"/>
        <v>2588.6204545454548</v>
      </c>
      <c r="W1" s="234">
        <f t="shared" si="0"/>
        <v>1822.7372093023257</v>
      </c>
      <c r="X1" s="234">
        <f t="shared" si="0"/>
        <v>1102.9927710843376</v>
      </c>
      <c r="Y1" s="234">
        <f t="shared" si="0"/>
        <v>374.08969696969712</v>
      </c>
      <c r="Z1" s="234">
        <f t="shared" si="0"/>
        <v>-240.93818181818165</v>
      </c>
      <c r="AA1" s="234">
        <f t="shared" si="0"/>
        <v>-1046.9012048192767</v>
      </c>
      <c r="AB1" s="234">
        <f t="shared" si="0"/>
        <v>-2377.4963855421684</v>
      </c>
    </row>
    <row r="2" spans="1:28" s="167" customFormat="1" ht="18.75" x14ac:dyDescent="0.3">
      <c r="A2" s="167" t="s">
        <v>419</v>
      </c>
      <c r="J2" s="168"/>
      <c r="O2" s="169" t="s">
        <v>343</v>
      </c>
      <c r="P2" s="169"/>
      <c r="Q2" s="169" t="s">
        <v>344</v>
      </c>
      <c r="R2" s="167" t="s">
        <v>345</v>
      </c>
      <c r="S2" s="235">
        <f>-$D21/B8+9.5/B8</f>
        <v>-3796568.6274509802</v>
      </c>
      <c r="T2" s="235">
        <f t="shared" ref="T2:AB2" si="1">-$D21/C8+10/C8</f>
        <v>-5078947.3684210526</v>
      </c>
      <c r="U2" s="235">
        <f t="shared" si="1"/>
        <v>-6302040.8163265307</v>
      </c>
      <c r="V2" s="235">
        <f t="shared" si="1"/>
        <v>-8772727.2727272715</v>
      </c>
      <c r="W2" s="235">
        <f t="shared" si="1"/>
        <v>-8976744.1860465109</v>
      </c>
      <c r="X2" s="235">
        <f t="shared" si="1"/>
        <v>-9301204.8192771077</v>
      </c>
      <c r="Y2" s="235">
        <f t="shared" si="1"/>
        <v>-9357575.7575757578</v>
      </c>
      <c r="Z2" s="235">
        <f t="shared" si="1"/>
        <v>-9357575.7575757578</v>
      </c>
      <c r="AA2" s="235">
        <f t="shared" si="1"/>
        <v>-9301204.8192771077</v>
      </c>
      <c r="AB2" s="235">
        <f t="shared" si="1"/>
        <v>-9301204.8192771077</v>
      </c>
    </row>
    <row r="3" spans="1:28" hidden="1" x14ac:dyDescent="0.25">
      <c r="O3" s="170">
        <v>1</v>
      </c>
      <c r="P3" s="215"/>
      <c r="Q3" s="171">
        <v>110.4</v>
      </c>
      <c r="S3" s="234"/>
      <c r="T3" s="234"/>
      <c r="V3" s="234"/>
      <c r="W3" s="234"/>
      <c r="X3" s="234"/>
      <c r="Y3" s="234"/>
      <c r="Z3" s="234"/>
      <c r="AA3" s="234"/>
      <c r="AB3" s="234"/>
    </row>
    <row r="4" spans="1:28" hidden="1" x14ac:dyDescent="0.25">
      <c r="A4" s="59" t="s">
        <v>346</v>
      </c>
      <c r="C4" s="172"/>
      <c r="O4" s="170">
        <v>2</v>
      </c>
      <c r="P4" s="215"/>
      <c r="Q4" s="171">
        <v>142.6</v>
      </c>
      <c r="S4" s="234">
        <v>1</v>
      </c>
      <c r="T4" s="234">
        <v>2</v>
      </c>
      <c r="U4" s="234">
        <v>3</v>
      </c>
      <c r="V4" s="234">
        <v>4</v>
      </c>
      <c r="W4" s="234">
        <v>5</v>
      </c>
      <c r="X4" s="234">
        <v>6</v>
      </c>
      <c r="Y4" s="234">
        <v>7</v>
      </c>
      <c r="Z4" s="234">
        <v>8</v>
      </c>
      <c r="AA4" s="234">
        <v>9</v>
      </c>
      <c r="AB4" s="234">
        <v>10</v>
      </c>
    </row>
    <row r="5" spans="1:28" s="174" customFormat="1" ht="15.75" hidden="1" thickBot="1" x14ac:dyDescent="0.3">
      <c r="A5" s="173" t="s">
        <v>347</v>
      </c>
      <c r="B5" s="4">
        <v>1</v>
      </c>
      <c r="C5" s="4">
        <v>2</v>
      </c>
      <c r="D5" s="4">
        <v>3</v>
      </c>
      <c r="E5" s="4">
        <v>4</v>
      </c>
      <c r="F5" s="4">
        <v>5</v>
      </c>
      <c r="G5" s="4">
        <v>6</v>
      </c>
      <c r="H5" s="4">
        <v>7</v>
      </c>
      <c r="I5" s="4">
        <v>8</v>
      </c>
      <c r="J5" s="4">
        <v>9</v>
      </c>
      <c r="K5" s="4">
        <v>10</v>
      </c>
      <c r="L5" s="4">
        <v>11</v>
      </c>
      <c r="M5" s="4">
        <v>12</v>
      </c>
      <c r="O5" s="170">
        <v>3</v>
      </c>
      <c r="P5" s="215"/>
      <c r="Q5" s="171">
        <v>170.2</v>
      </c>
      <c r="S5" s="236">
        <f>-S1/2</f>
        <v>-1456.6504901960784</v>
      </c>
      <c r="T5" s="236">
        <f t="shared" ref="T5:AB5" si="2">-T1/2</f>
        <v>-1459.0006578947368</v>
      </c>
      <c r="U5" s="236">
        <f t="shared" si="2"/>
        <v>-1386.846530612245</v>
      </c>
      <c r="V5" s="236">
        <f t="shared" si="2"/>
        <v>-1294.3102272727274</v>
      </c>
      <c r="W5" s="236">
        <f t="shared" si="2"/>
        <v>-911.36860465116285</v>
      </c>
      <c r="X5" s="236">
        <f t="shared" si="2"/>
        <v>-551.49638554216881</v>
      </c>
      <c r="Y5" s="236">
        <f t="shared" si="2"/>
        <v>-187.04484848484856</v>
      </c>
      <c r="Z5" s="236">
        <f t="shared" si="2"/>
        <v>120.46909090909082</v>
      </c>
      <c r="AA5" s="236">
        <f t="shared" si="2"/>
        <v>523.45060240963835</v>
      </c>
      <c r="AB5" s="236">
        <f t="shared" si="2"/>
        <v>1188.7481927710842</v>
      </c>
    </row>
    <row r="6" spans="1:28" ht="15.75" hidden="1" thickBot="1" x14ac:dyDescent="0.3">
      <c r="A6" s="172" t="s">
        <v>348</v>
      </c>
      <c r="B6" s="382">
        <v>0.04</v>
      </c>
      <c r="C6" s="383">
        <v>0.03</v>
      </c>
      <c r="D6" s="383">
        <v>0.02</v>
      </c>
      <c r="E6" s="383">
        <v>0.01</v>
      </c>
      <c r="F6" s="384">
        <v>0</v>
      </c>
      <c r="G6" s="383">
        <v>-0.01</v>
      </c>
      <c r="H6" s="382">
        <v>-0.02</v>
      </c>
      <c r="I6" s="383">
        <v>-0.03</v>
      </c>
      <c r="J6" s="383">
        <v>-0.04</v>
      </c>
      <c r="K6" s="383">
        <v>-0.06</v>
      </c>
      <c r="L6" s="383">
        <v>-0.09</v>
      </c>
      <c r="M6" s="383">
        <v>-0.12</v>
      </c>
      <c r="O6" s="170">
        <v>4</v>
      </c>
      <c r="P6" s="215"/>
      <c r="Q6" s="171">
        <v>197.8</v>
      </c>
      <c r="R6" t="s">
        <v>349</v>
      </c>
      <c r="S6" s="234">
        <f>S1/2</f>
        <v>1456.6504901960784</v>
      </c>
      <c r="T6" s="234">
        <f t="shared" ref="T6:AB6" si="3">T1/2</f>
        <v>1459.0006578947368</v>
      </c>
      <c r="U6" s="234">
        <f t="shared" si="3"/>
        <v>1386.846530612245</v>
      </c>
      <c r="V6" s="234">
        <f t="shared" si="3"/>
        <v>1294.3102272727274</v>
      </c>
      <c r="W6" s="234">
        <f t="shared" si="3"/>
        <v>911.36860465116285</v>
      </c>
      <c r="X6" s="234">
        <f t="shared" si="3"/>
        <v>551.49638554216881</v>
      </c>
      <c r="Y6" s="234">
        <f t="shared" si="3"/>
        <v>187.04484848484856</v>
      </c>
      <c r="Z6" s="234">
        <f t="shared" si="3"/>
        <v>-120.46909090909082</v>
      </c>
      <c r="AA6" s="234">
        <f t="shared" si="3"/>
        <v>-523.45060240963835</v>
      </c>
      <c r="AB6" s="234">
        <f t="shared" si="3"/>
        <v>-1188.7481927710842</v>
      </c>
    </row>
    <row r="7" spans="1:28" ht="15.75" hidden="1" thickBot="1" x14ac:dyDescent="0.3">
      <c r="A7" s="172" t="s">
        <v>337</v>
      </c>
      <c r="B7" s="385">
        <v>4.797E-4</v>
      </c>
      <c r="C7" s="386">
        <v>3.5710000000000001E-4</v>
      </c>
      <c r="D7" s="386">
        <v>2.9169999999999999E-4</v>
      </c>
      <c r="E7" s="386">
        <v>2.163E-4</v>
      </c>
      <c r="F7" s="386">
        <v>1.907E-4</v>
      </c>
      <c r="G7" s="386">
        <v>1.7220000000000001E-4</v>
      </c>
      <c r="H7" s="385">
        <v>1.5919999999999999E-4</v>
      </c>
      <c r="I7" s="386">
        <v>1.583E-4</v>
      </c>
      <c r="J7" s="386">
        <v>1.3760000000000001E-4</v>
      </c>
      <c r="K7" s="386">
        <v>1.249E-4</v>
      </c>
      <c r="L7" s="386">
        <v>1.141E-4</v>
      </c>
      <c r="M7" s="386">
        <v>1.1069999999999999E-4</v>
      </c>
      <c r="O7" s="170">
        <v>5</v>
      </c>
      <c r="P7" s="215"/>
      <c r="Q7" s="171">
        <v>225.4</v>
      </c>
      <c r="S7" s="234">
        <f t="shared" ref="S7:AB7" si="4">S6*S6</f>
        <v>2121830.6505884756</v>
      </c>
      <c r="T7" s="234">
        <f t="shared" si="4"/>
        <v>2128682.9197372748</v>
      </c>
      <c r="U7" s="234">
        <f t="shared" si="4"/>
        <v>1923343.2994712207</v>
      </c>
      <c r="V7" s="234">
        <f t="shared" si="4"/>
        <v>1675238.9644227792</v>
      </c>
      <c r="W7" s="234">
        <f t="shared" si="4"/>
        <v>830592.73354380752</v>
      </c>
      <c r="X7" s="234">
        <f t="shared" si="4"/>
        <v>304148.26326607651</v>
      </c>
      <c r="Y7" s="234">
        <f t="shared" si="4"/>
        <v>34985.77534471995</v>
      </c>
      <c r="Z7" s="234">
        <f t="shared" si="4"/>
        <v>14512.80186446279</v>
      </c>
      <c r="AA7" s="234">
        <f t="shared" si="4"/>
        <v>274000.53316301329</v>
      </c>
      <c r="AB7" s="234">
        <f t="shared" si="4"/>
        <v>1413122.2658165188</v>
      </c>
    </row>
    <row r="8" spans="1:28" ht="15.75" hidden="1" thickBot="1" x14ac:dyDescent="0.3">
      <c r="A8" s="172" t="s">
        <v>350</v>
      </c>
      <c r="B8" s="385">
        <v>4.0800000000000002E-5</v>
      </c>
      <c r="C8" s="386">
        <v>3.04E-5</v>
      </c>
      <c r="D8" s="386">
        <v>2.4499999999999999E-5</v>
      </c>
      <c r="E8" s="386">
        <v>1.7600000000000001E-5</v>
      </c>
      <c r="F8" s="386">
        <v>1.7200000000000001E-5</v>
      </c>
      <c r="G8" s="386">
        <v>1.66E-5</v>
      </c>
      <c r="H8" s="385">
        <v>1.6500000000000001E-5</v>
      </c>
      <c r="I8" s="386">
        <v>1.6500000000000001E-5</v>
      </c>
      <c r="J8" s="386">
        <v>1.66E-5</v>
      </c>
      <c r="K8" s="386">
        <v>1.66E-5</v>
      </c>
      <c r="L8" s="386">
        <v>1.9599999999999999E-5</v>
      </c>
      <c r="M8" s="386">
        <v>2.2099999999999998E-5</v>
      </c>
      <c r="O8" s="170">
        <v>6</v>
      </c>
      <c r="P8" s="215"/>
      <c r="Q8" s="171">
        <v>253</v>
      </c>
      <c r="S8" s="234">
        <f t="shared" ref="S8:AB8" si="5">S7-S2</f>
        <v>5918399.2780394554</v>
      </c>
      <c r="T8" s="234">
        <f t="shared" si="5"/>
        <v>7207630.2881583273</v>
      </c>
      <c r="U8" s="234">
        <f t="shared" si="5"/>
        <v>8225384.1157977516</v>
      </c>
      <c r="V8" s="234">
        <f t="shared" si="5"/>
        <v>10447966.237150051</v>
      </c>
      <c r="W8" s="234">
        <f t="shared" si="5"/>
        <v>9807336.9195903186</v>
      </c>
      <c r="X8" s="234">
        <f t="shared" si="5"/>
        <v>9605353.082543185</v>
      </c>
      <c r="Y8" s="234">
        <f t="shared" si="5"/>
        <v>9392561.5329204779</v>
      </c>
      <c r="Z8" s="234">
        <f t="shared" si="5"/>
        <v>9372088.5594402198</v>
      </c>
      <c r="AA8" s="234">
        <f t="shared" si="5"/>
        <v>9575205.3524401207</v>
      </c>
      <c r="AB8" s="234">
        <f t="shared" si="5"/>
        <v>10714327.085093627</v>
      </c>
    </row>
    <row r="9" spans="1:28" hidden="1" x14ac:dyDescent="0.25">
      <c r="O9" s="170">
        <v>7</v>
      </c>
      <c r="P9" s="215"/>
      <c r="Q9" s="171">
        <v>280.60000000000002</v>
      </c>
      <c r="S9" s="234">
        <f t="shared" ref="S9:AB9" si="6">SQRT(S8)</f>
        <v>2432.7760435435598</v>
      </c>
      <c r="T9" s="234">
        <f t="shared" si="6"/>
        <v>2684.7030167521934</v>
      </c>
      <c r="U9" s="234">
        <f t="shared" si="6"/>
        <v>2867.9930466787664</v>
      </c>
      <c r="V9" s="234">
        <f t="shared" si="6"/>
        <v>3232.3313934604616</v>
      </c>
      <c r="W9" s="234">
        <f t="shared" si="6"/>
        <v>3131.666795747964</v>
      </c>
      <c r="X9" s="234">
        <f t="shared" si="6"/>
        <v>3099.2504065569119</v>
      </c>
      <c r="Y9" s="234">
        <f t="shared" si="6"/>
        <v>3064.728623046497</v>
      </c>
      <c r="Z9" s="234">
        <f t="shared" si="6"/>
        <v>3061.386705308596</v>
      </c>
      <c r="AA9" s="234">
        <f t="shared" si="6"/>
        <v>3094.382871016468</v>
      </c>
      <c r="AB9" s="234">
        <f t="shared" si="6"/>
        <v>3273.2746730290796</v>
      </c>
    </row>
    <row r="10" spans="1:28" s="59" customFormat="1" hidden="1" x14ac:dyDescent="0.25">
      <c r="A10" s="59" t="s">
        <v>351</v>
      </c>
      <c r="C10" s="59" t="s">
        <v>352</v>
      </c>
      <c r="D10" s="59" t="s">
        <v>353</v>
      </c>
      <c r="O10" s="170">
        <v>8</v>
      </c>
      <c r="P10" s="215"/>
      <c r="Q10" s="171">
        <v>308.20000000000005</v>
      </c>
      <c r="S10" s="237">
        <f t="shared" ref="S10:AB10" si="7">S5+S9</f>
        <v>976.1255533474814</v>
      </c>
      <c r="T10" s="237">
        <f t="shared" si="7"/>
        <v>1225.7023588574566</v>
      </c>
      <c r="U10" s="237">
        <f t="shared" si="7"/>
        <v>1481.1465160665214</v>
      </c>
      <c r="V10" s="237">
        <f t="shared" si="7"/>
        <v>1938.0211661877343</v>
      </c>
      <c r="W10" s="237">
        <f t="shared" si="7"/>
        <v>2220.298191096801</v>
      </c>
      <c r="X10" s="237">
        <f t="shared" si="7"/>
        <v>2547.7540210147431</v>
      </c>
      <c r="Y10" s="237">
        <f t="shared" si="7"/>
        <v>2877.6837745616485</v>
      </c>
      <c r="Z10" s="237">
        <f t="shared" si="7"/>
        <v>3181.8557962176869</v>
      </c>
      <c r="AA10" s="237">
        <f t="shared" si="7"/>
        <v>3617.8334734261061</v>
      </c>
      <c r="AB10" s="237">
        <f t="shared" si="7"/>
        <v>4462.0228658001633</v>
      </c>
    </row>
    <row r="11" spans="1:28" hidden="1" x14ac:dyDescent="0.25">
      <c r="O11" s="170">
        <v>9</v>
      </c>
      <c r="P11" s="215"/>
      <c r="Q11" s="171">
        <v>335.80000000000007</v>
      </c>
    </row>
    <row r="12" spans="1:28" ht="15.75" hidden="1" thickBot="1" x14ac:dyDescent="0.3">
      <c r="A12" s="175" t="s">
        <v>347</v>
      </c>
      <c r="B12" s="176">
        <v>1</v>
      </c>
      <c r="C12" s="176">
        <v>2</v>
      </c>
      <c r="D12" s="176">
        <v>3</v>
      </c>
      <c r="E12" s="176">
        <v>4</v>
      </c>
      <c r="F12" s="176">
        <v>5</v>
      </c>
      <c r="G12" s="176">
        <v>6</v>
      </c>
      <c r="H12" s="176">
        <v>7</v>
      </c>
      <c r="I12" s="176">
        <v>8</v>
      </c>
      <c r="J12" s="176">
        <v>9</v>
      </c>
      <c r="K12" s="176">
        <v>10</v>
      </c>
      <c r="L12" s="176">
        <v>11</v>
      </c>
      <c r="M12" s="176">
        <v>12</v>
      </c>
      <c r="O12" s="170">
        <v>10</v>
      </c>
      <c r="P12" s="215"/>
      <c r="Q12" s="171">
        <v>363.40000000000009</v>
      </c>
    </row>
    <row r="13" spans="1:28" ht="15.75" hidden="1" thickBot="1" x14ac:dyDescent="0.3">
      <c r="A13" s="177" t="s">
        <v>354</v>
      </c>
      <c r="B13" s="378">
        <v>54</v>
      </c>
      <c r="C13" s="379">
        <v>67</v>
      </c>
      <c r="D13" s="379">
        <v>79</v>
      </c>
      <c r="E13" s="379">
        <v>92</v>
      </c>
      <c r="F13" s="379">
        <v>103</v>
      </c>
      <c r="G13" s="379">
        <v>103</v>
      </c>
      <c r="H13" s="378">
        <v>115</v>
      </c>
      <c r="I13" s="379">
        <v>128</v>
      </c>
      <c r="J13" s="379">
        <v>140</v>
      </c>
      <c r="K13" s="379">
        <v>152</v>
      </c>
      <c r="L13" s="379">
        <v>187</v>
      </c>
      <c r="M13" s="379">
        <v>298</v>
      </c>
      <c r="O13" s="170">
        <v>11</v>
      </c>
      <c r="P13" s="215"/>
      <c r="Q13" s="171">
        <v>391.00000000000011</v>
      </c>
    </row>
    <row r="14" spans="1:28" ht="15.75" hidden="1" thickBot="1" x14ac:dyDescent="0.3">
      <c r="A14" s="177" t="s">
        <v>355</v>
      </c>
      <c r="B14" s="380">
        <v>396</v>
      </c>
      <c r="C14" s="381">
        <v>679</v>
      </c>
      <c r="D14" s="381">
        <v>906</v>
      </c>
      <c r="E14" s="381">
        <v>1132</v>
      </c>
      <c r="F14" s="381">
        <v>1358</v>
      </c>
      <c r="G14" s="381">
        <v>1585</v>
      </c>
      <c r="H14" s="378">
        <v>1811</v>
      </c>
      <c r="I14" s="379">
        <v>2037</v>
      </c>
      <c r="J14" s="379">
        <v>2264</v>
      </c>
      <c r="K14" s="379">
        <v>2490</v>
      </c>
      <c r="L14" s="379">
        <v>2717</v>
      </c>
      <c r="M14" s="379">
        <v>2943</v>
      </c>
      <c r="O14" s="170">
        <v>12</v>
      </c>
      <c r="P14" s="215"/>
      <c r="Q14" s="171">
        <v>418.60000000000014</v>
      </c>
    </row>
    <row r="15" spans="1:28" x14ac:dyDescent="0.25">
      <c r="A15" s="454" t="s">
        <v>356</v>
      </c>
      <c r="B15" s="455"/>
      <c r="C15" s="455"/>
      <c r="D15" s="455"/>
      <c r="E15" s="455"/>
      <c r="F15" s="455"/>
      <c r="G15" s="455"/>
      <c r="I15" s="456" t="s">
        <v>357</v>
      </c>
      <c r="J15" s="457"/>
      <c r="K15" s="457"/>
      <c r="L15" s="457"/>
      <c r="M15" s="457"/>
      <c r="N15" s="457"/>
      <c r="O15" s="458"/>
      <c r="P15" s="447" t="s">
        <v>358</v>
      </c>
      <c r="Q15" s="220"/>
    </row>
    <row r="16" spans="1:28" x14ac:dyDescent="0.25">
      <c r="A16" s="179" t="s">
        <v>359</v>
      </c>
      <c r="B16" s="180"/>
      <c r="C16" s="180"/>
      <c r="D16" s="181">
        <v>1</v>
      </c>
      <c r="E16" s="180"/>
      <c r="F16" s="180"/>
      <c r="G16" s="180"/>
      <c r="I16" s="226" t="s">
        <v>360</v>
      </c>
      <c r="J16" s="226" t="s">
        <v>361</v>
      </c>
      <c r="K16" s="227" t="s">
        <v>362</v>
      </c>
      <c r="L16" s="228" t="s">
        <v>363</v>
      </c>
      <c r="M16" s="229" t="s">
        <v>364</v>
      </c>
      <c r="N16" s="227" t="s">
        <v>365</v>
      </c>
      <c r="O16" s="230" t="s">
        <v>366</v>
      </c>
      <c r="P16" s="447"/>
      <c r="Q16" t="s">
        <v>358</v>
      </c>
    </row>
    <row r="17" spans="1:19" x14ac:dyDescent="0.25">
      <c r="A17" s="183" t="s">
        <v>367</v>
      </c>
      <c r="B17" s="180"/>
      <c r="C17" s="180"/>
      <c r="D17" s="184">
        <f>VLOOKUP(D16,A42:M49,D23+1)</f>
        <v>380.2</v>
      </c>
      <c r="E17" s="180"/>
      <c r="F17" s="180"/>
      <c r="G17" s="180"/>
      <c r="H17" t="s">
        <v>72</v>
      </c>
      <c r="I17" s="182"/>
      <c r="J17" s="182"/>
      <c r="K17" s="182">
        <v>0</v>
      </c>
      <c r="L17" s="182"/>
      <c r="M17" s="182">
        <v>0</v>
      </c>
      <c r="N17" s="200">
        <f>(K17-M17)</f>
        <v>0</v>
      </c>
      <c r="O17" s="224">
        <f>N17*P17</f>
        <v>0</v>
      </c>
      <c r="P17" s="225">
        <v>1</v>
      </c>
      <c r="Q17" s="221">
        <v>0.7</v>
      </c>
    </row>
    <row r="18" spans="1:19" ht="20.25" customHeight="1" x14ac:dyDescent="0.25">
      <c r="A18" s="179" t="s">
        <v>368</v>
      </c>
      <c r="B18" s="180"/>
      <c r="C18" s="180"/>
      <c r="D18" s="186">
        <v>0</v>
      </c>
      <c r="E18" s="4" t="s">
        <v>369</v>
      </c>
      <c r="F18" s="184">
        <f>HLOOKUP(D23,B12:M14,2)</f>
        <v>54</v>
      </c>
      <c r="G18" s="184">
        <f>IF(D18&gt;F18,D21,F18)</f>
        <v>54</v>
      </c>
      <c r="I18" s="187"/>
      <c r="J18" s="182"/>
      <c r="K18" s="182">
        <v>0</v>
      </c>
      <c r="L18" s="182"/>
      <c r="M18" s="182">
        <v>0</v>
      </c>
      <c r="N18" s="200">
        <f>(K18-M18)</f>
        <v>0</v>
      </c>
      <c r="O18" s="224">
        <f t="shared" ref="O18:O37" si="8">N18*P18</f>
        <v>0</v>
      </c>
      <c r="P18" s="225">
        <v>1</v>
      </c>
      <c r="Q18" s="222">
        <v>0.8</v>
      </c>
    </row>
    <row r="19" spans="1:19" ht="21.75" customHeight="1" x14ac:dyDescent="0.25">
      <c r="A19" s="188" t="s">
        <v>370</v>
      </c>
      <c r="B19" s="180"/>
      <c r="C19" s="180"/>
      <c r="D19" s="189">
        <f>IF(AND(D18&lt;D17,D18&gt;F18),D18,IF(D18&lt;F18,F18,D17))</f>
        <v>54</v>
      </c>
      <c r="E19" s="4"/>
      <c r="F19" s="184"/>
      <c r="G19" s="184"/>
      <c r="I19" s="182"/>
      <c r="J19" s="182"/>
      <c r="K19" s="182">
        <v>0</v>
      </c>
      <c r="L19" s="182"/>
      <c r="M19" s="182">
        <v>0</v>
      </c>
      <c r="N19" s="200">
        <f>(K19-M19)</f>
        <v>0</v>
      </c>
      <c r="O19" s="224">
        <f t="shared" si="8"/>
        <v>0</v>
      </c>
      <c r="P19" s="225">
        <v>1</v>
      </c>
      <c r="Q19" s="222">
        <v>0.9</v>
      </c>
    </row>
    <row r="20" spans="1:19" x14ac:dyDescent="0.25">
      <c r="A20" s="188" t="s">
        <v>343</v>
      </c>
      <c r="B20" s="180"/>
      <c r="C20" s="180"/>
      <c r="D20" s="190">
        <f>VLOOKUP(D23,O3:Q14,3)</f>
        <v>110.4</v>
      </c>
      <c r="E20" s="4"/>
      <c r="F20" s="184"/>
      <c r="G20" s="184"/>
      <c r="I20" s="182"/>
      <c r="J20" s="182"/>
      <c r="K20" s="182">
        <v>0</v>
      </c>
      <c r="L20" s="191"/>
      <c r="M20" s="182">
        <v>0</v>
      </c>
      <c r="N20" s="200">
        <f t="shared" ref="N20:N37" si="9">(K20-M20)</f>
        <v>0</v>
      </c>
      <c r="O20" s="224">
        <f t="shared" si="8"/>
        <v>0</v>
      </c>
      <c r="P20" s="225">
        <v>1</v>
      </c>
      <c r="Q20" s="222">
        <v>1</v>
      </c>
    </row>
    <row r="21" spans="1:19" x14ac:dyDescent="0.25">
      <c r="A21" s="188" t="s">
        <v>371</v>
      </c>
      <c r="B21" s="180"/>
      <c r="C21" s="180"/>
      <c r="D21" s="190">
        <f>D19+D20</f>
        <v>164.4</v>
      </c>
      <c r="E21" s="4"/>
      <c r="F21" s="184"/>
      <c r="G21" s="184"/>
      <c r="I21" s="182"/>
      <c r="J21" s="182"/>
      <c r="K21" s="182">
        <v>0</v>
      </c>
      <c r="L21" s="191"/>
      <c r="M21" s="182">
        <v>0</v>
      </c>
      <c r="N21" s="200">
        <f t="shared" si="9"/>
        <v>0</v>
      </c>
      <c r="O21" s="224">
        <f t="shared" si="8"/>
        <v>0</v>
      </c>
      <c r="P21" s="225">
        <v>1</v>
      </c>
    </row>
    <row r="22" spans="1:19" x14ac:dyDescent="0.25">
      <c r="A22" s="188" t="s">
        <v>372</v>
      </c>
      <c r="D22" s="194">
        <f>O59</f>
        <v>0</v>
      </c>
      <c r="E22" s="4" t="s">
        <v>369</v>
      </c>
      <c r="F22" s="184">
        <f>HLOOKUP(D23,B12:M14,3)</f>
        <v>396</v>
      </c>
      <c r="G22" s="184">
        <f>IF(D22&gt;F22,D22,F22)</f>
        <v>396</v>
      </c>
      <c r="I22" s="182"/>
      <c r="J22" s="182"/>
      <c r="K22" s="182">
        <v>0</v>
      </c>
      <c r="L22" s="191"/>
      <c r="M22" s="182">
        <v>0</v>
      </c>
      <c r="N22" s="200">
        <f t="shared" si="9"/>
        <v>0</v>
      </c>
      <c r="O22" s="224">
        <f t="shared" si="8"/>
        <v>0</v>
      </c>
      <c r="P22" s="225">
        <v>1</v>
      </c>
    </row>
    <row r="23" spans="1:19" x14ac:dyDescent="0.25">
      <c r="A23" s="188" t="s">
        <v>373</v>
      </c>
      <c r="D23" s="181">
        <v>1</v>
      </c>
      <c r="I23" s="182"/>
      <c r="J23" s="182"/>
      <c r="K23" s="182">
        <v>0</v>
      </c>
      <c r="L23" s="191"/>
      <c r="M23" s="182">
        <v>0</v>
      </c>
      <c r="N23" s="200">
        <f t="shared" si="9"/>
        <v>0</v>
      </c>
      <c r="O23" s="224">
        <f t="shared" si="8"/>
        <v>0</v>
      </c>
      <c r="P23" s="225">
        <v>1</v>
      </c>
    </row>
    <row r="24" spans="1:19" hidden="1" x14ac:dyDescent="0.25">
      <c r="A24" s="183" t="s">
        <v>348</v>
      </c>
      <c r="B24">
        <f>HLOOKUP(D23,B5:M8,2,FALSE)</f>
        <v>0.04</v>
      </c>
      <c r="D24" s="180"/>
      <c r="I24" s="182"/>
      <c r="J24" s="182"/>
      <c r="K24" s="182">
        <v>0</v>
      </c>
      <c r="L24" s="191"/>
      <c r="M24" s="182">
        <v>0</v>
      </c>
      <c r="N24" s="200">
        <f t="shared" si="9"/>
        <v>0</v>
      </c>
      <c r="O24" s="224">
        <f t="shared" si="8"/>
        <v>0</v>
      </c>
      <c r="P24" s="225">
        <v>1</v>
      </c>
    </row>
    <row r="25" spans="1:19" hidden="1" x14ac:dyDescent="0.25">
      <c r="A25" s="183" t="s">
        <v>337</v>
      </c>
      <c r="B25">
        <f>HLOOKUP(D23,B5:M8,3)</f>
        <v>4.797E-4</v>
      </c>
      <c r="D25" s="180"/>
      <c r="I25" s="182"/>
      <c r="J25" s="182"/>
      <c r="K25" s="182">
        <v>0</v>
      </c>
      <c r="L25" s="191"/>
      <c r="M25" s="182">
        <v>0</v>
      </c>
      <c r="N25" s="200">
        <f t="shared" si="9"/>
        <v>0</v>
      </c>
      <c r="O25" s="224">
        <f t="shared" si="8"/>
        <v>0</v>
      </c>
      <c r="P25" s="225">
        <v>1</v>
      </c>
    </row>
    <row r="26" spans="1:19" hidden="1" x14ac:dyDescent="0.25">
      <c r="A26" s="183" t="s">
        <v>350</v>
      </c>
      <c r="B26">
        <f>HLOOKUP(D23,B5:M8,4)</f>
        <v>4.0800000000000002E-5</v>
      </c>
      <c r="D26" s="180"/>
      <c r="I26" s="182"/>
      <c r="J26" s="182"/>
      <c r="K26" s="182">
        <v>0</v>
      </c>
      <c r="L26" s="191"/>
      <c r="M26" s="182">
        <v>0</v>
      </c>
      <c r="N26" s="200">
        <f t="shared" si="9"/>
        <v>0</v>
      </c>
      <c r="O26" s="224">
        <f t="shared" si="8"/>
        <v>0</v>
      </c>
      <c r="P26" s="225">
        <v>1</v>
      </c>
      <c r="Q26" s="223"/>
      <c r="R26" s="195"/>
    </row>
    <row r="27" spans="1:19" hidden="1" x14ac:dyDescent="0.25">
      <c r="A27" s="183"/>
      <c r="D27" s="180"/>
      <c r="I27" s="182"/>
      <c r="J27" s="182"/>
      <c r="K27" s="182">
        <v>0</v>
      </c>
      <c r="L27" s="191"/>
      <c r="M27" s="182">
        <v>0</v>
      </c>
      <c r="N27" s="200">
        <f t="shared" si="9"/>
        <v>0</v>
      </c>
      <c r="O27" s="224">
        <f t="shared" si="8"/>
        <v>0</v>
      </c>
      <c r="P27" s="225">
        <v>1</v>
      </c>
      <c r="Q27" s="3"/>
      <c r="R27" s="3"/>
    </row>
    <row r="28" spans="1:19" hidden="1" x14ac:dyDescent="0.25">
      <c r="A28" s="188" t="s">
        <v>374</v>
      </c>
      <c r="D28" s="180"/>
      <c r="I28" s="182"/>
      <c r="J28" s="182"/>
      <c r="K28" s="182"/>
      <c r="L28" s="191"/>
      <c r="M28" s="192"/>
      <c r="N28" s="200">
        <f t="shared" si="9"/>
        <v>0</v>
      </c>
      <c r="O28" s="224">
        <f t="shared" si="8"/>
        <v>0</v>
      </c>
      <c r="P28" s="225">
        <v>1</v>
      </c>
    </row>
    <row r="29" spans="1:19" hidden="1" x14ac:dyDescent="0.25">
      <c r="A29" t="s">
        <v>375</v>
      </c>
      <c r="B29" s="196">
        <f>B24+B25*G18+B26*G22</f>
        <v>8.2060599999999997E-2</v>
      </c>
      <c r="I29" s="182"/>
      <c r="J29" s="182"/>
      <c r="K29" s="182"/>
      <c r="L29" s="191"/>
      <c r="M29" s="192"/>
      <c r="N29" s="200">
        <f t="shared" si="9"/>
        <v>0</v>
      </c>
      <c r="O29" s="224">
        <f t="shared" si="8"/>
        <v>0</v>
      </c>
      <c r="P29" s="225">
        <v>1</v>
      </c>
      <c r="S29">
        <v>3</v>
      </c>
    </row>
    <row r="30" spans="1:19" hidden="1" x14ac:dyDescent="0.25">
      <c r="A30" t="s">
        <v>376</v>
      </c>
      <c r="B30" s="196">
        <f>B29*G22</f>
        <v>32.495997599999995</v>
      </c>
      <c r="I30" s="182"/>
      <c r="J30" s="182"/>
      <c r="K30" s="182"/>
      <c r="L30" s="191"/>
      <c r="M30" s="192"/>
      <c r="N30" s="200">
        <f t="shared" si="9"/>
        <v>0</v>
      </c>
      <c r="O30" s="224">
        <f t="shared" si="8"/>
        <v>0</v>
      </c>
      <c r="P30" s="225">
        <v>1</v>
      </c>
    </row>
    <row r="31" spans="1:19" hidden="1" x14ac:dyDescent="0.25">
      <c r="A31" t="s">
        <v>377</v>
      </c>
      <c r="B31" s="196">
        <f>G18-B30</f>
        <v>21.504002400000005</v>
      </c>
      <c r="I31" s="182"/>
      <c r="J31" s="182"/>
      <c r="K31" s="182"/>
      <c r="L31" s="191"/>
      <c r="M31" s="192"/>
      <c r="N31" s="200">
        <f t="shared" si="9"/>
        <v>0</v>
      </c>
      <c r="O31" s="224">
        <f t="shared" si="8"/>
        <v>0</v>
      </c>
      <c r="P31" s="225">
        <v>1</v>
      </c>
    </row>
    <row r="32" spans="1:19" hidden="1" x14ac:dyDescent="0.25">
      <c r="A32" t="s">
        <v>378</v>
      </c>
      <c r="B32" s="196">
        <f>1.15*B31</f>
        <v>24.729602760000002</v>
      </c>
      <c r="I32" s="459" t="s">
        <v>379</v>
      </c>
      <c r="J32" s="460"/>
      <c r="K32" s="460"/>
      <c r="L32" s="461"/>
      <c r="M32" s="193"/>
      <c r="N32" s="200"/>
      <c r="O32" s="224">
        <f t="shared" si="8"/>
        <v>0</v>
      </c>
      <c r="P32" s="225">
        <v>1</v>
      </c>
    </row>
    <row r="33" spans="1:21" x14ac:dyDescent="0.25">
      <c r="A33" t="s">
        <v>380</v>
      </c>
      <c r="B33" s="196"/>
      <c r="I33" s="191" t="s">
        <v>189</v>
      </c>
      <c r="J33" s="191"/>
      <c r="K33" s="191"/>
      <c r="L33" s="191"/>
      <c r="M33" s="192"/>
      <c r="N33" s="200">
        <f t="shared" si="9"/>
        <v>0</v>
      </c>
      <c r="O33" s="224">
        <f t="shared" si="8"/>
        <v>0</v>
      </c>
      <c r="P33" s="225">
        <v>1</v>
      </c>
    </row>
    <row r="34" spans="1:21" s="197" customFormat="1" ht="27.75" x14ac:dyDescent="0.65">
      <c r="A34" s="133" t="s">
        <v>381</v>
      </c>
      <c r="B34" s="214">
        <f>ROUND(IF(B32&gt;9.49999999,B32,0),0)</f>
        <v>25</v>
      </c>
      <c r="D34" s="389">
        <f>B34</f>
        <v>25</v>
      </c>
      <c r="I34" s="182"/>
      <c r="J34" s="182"/>
      <c r="K34" s="191"/>
      <c r="L34" s="191"/>
      <c r="M34" s="192"/>
      <c r="N34" s="200">
        <f t="shared" si="9"/>
        <v>0</v>
      </c>
      <c r="O34" s="224">
        <f t="shared" si="8"/>
        <v>0</v>
      </c>
      <c r="P34" s="225">
        <v>1</v>
      </c>
      <c r="U34" s="238"/>
    </row>
    <row r="35" spans="1:21" x14ac:dyDescent="0.25">
      <c r="I35" s="182"/>
      <c r="J35" s="182"/>
      <c r="K35" s="191"/>
      <c r="L35" s="191"/>
      <c r="M35" s="192"/>
      <c r="N35" s="200">
        <f t="shared" si="9"/>
        <v>0</v>
      </c>
      <c r="O35" s="224">
        <f t="shared" si="8"/>
        <v>0</v>
      </c>
      <c r="P35" s="225">
        <v>1</v>
      </c>
    </row>
    <row r="36" spans="1:21" x14ac:dyDescent="0.25">
      <c r="I36" s="199"/>
      <c r="J36" s="199"/>
      <c r="K36" s="182"/>
      <c r="L36" s="191"/>
      <c r="M36" s="192"/>
      <c r="N36" s="200">
        <f t="shared" si="9"/>
        <v>0</v>
      </c>
      <c r="O36" s="224">
        <f t="shared" si="8"/>
        <v>0</v>
      </c>
      <c r="P36" s="225">
        <v>1</v>
      </c>
    </row>
    <row r="37" spans="1:21" x14ac:dyDescent="0.25">
      <c r="I37" s="182"/>
      <c r="J37" s="182"/>
      <c r="K37" s="182"/>
      <c r="L37" s="191"/>
      <c r="M37" s="192"/>
      <c r="N37" s="200">
        <f t="shared" si="9"/>
        <v>0</v>
      </c>
      <c r="O37" s="224">
        <f t="shared" si="8"/>
        <v>0</v>
      </c>
      <c r="P37" s="225">
        <v>1</v>
      </c>
    </row>
    <row r="38" spans="1:21" x14ac:dyDescent="0.25">
      <c r="I38" s="226"/>
      <c r="J38" s="226"/>
      <c r="K38" s="226"/>
      <c r="L38" s="231"/>
      <c r="M38" s="202"/>
      <c r="N38" s="192"/>
      <c r="O38" s="224"/>
      <c r="P38" s="185"/>
    </row>
    <row r="39" spans="1:21" ht="27.75" customHeight="1" x14ac:dyDescent="0.35">
      <c r="A39" s="465" t="s">
        <v>382</v>
      </c>
      <c r="B39" s="465"/>
      <c r="C39" s="465"/>
      <c r="D39" s="465"/>
      <c r="I39" s="462" t="s">
        <v>383</v>
      </c>
      <c r="J39" s="463"/>
      <c r="K39" s="463"/>
      <c r="L39" s="464"/>
      <c r="M39" s="231"/>
      <c r="N39" s="200" t="s">
        <v>384</v>
      </c>
      <c r="O39" s="185"/>
      <c r="P39" s="185"/>
    </row>
    <row r="40" spans="1:21" ht="21" x14ac:dyDescent="0.35">
      <c r="A40" s="244" t="s">
        <v>385</v>
      </c>
      <c r="B40" s="245">
        <f>HLOOKUP(D23,S4:AB10,7)+2</f>
        <v>978.1255533474814</v>
      </c>
      <c r="C40" s="246"/>
      <c r="D40" s="247"/>
      <c r="I40" s="201"/>
      <c r="J40" s="201"/>
      <c r="K40" s="201"/>
      <c r="L40" s="231"/>
      <c r="M40" s="231"/>
      <c r="N40" s="202"/>
      <c r="O40" s="185"/>
      <c r="P40" s="216"/>
    </row>
    <row r="41" spans="1:21" hidden="1" x14ac:dyDescent="0.25">
      <c r="A41" s="242" t="s">
        <v>386</v>
      </c>
      <c r="B41" s="110"/>
      <c r="C41" s="110"/>
      <c r="D41" s="248"/>
      <c r="I41" s="201"/>
      <c r="J41" s="201"/>
      <c r="K41" s="201"/>
      <c r="L41" s="231"/>
      <c r="M41" s="231"/>
      <c r="N41" s="202"/>
      <c r="O41" s="185"/>
      <c r="P41" s="216"/>
    </row>
    <row r="42" spans="1:21" hidden="1" x14ac:dyDescent="0.25">
      <c r="A42" s="240"/>
      <c r="B42" s="240">
        <v>1</v>
      </c>
      <c r="C42" s="240">
        <v>2</v>
      </c>
      <c r="D42" s="240">
        <v>3</v>
      </c>
      <c r="E42" s="205">
        <v>4</v>
      </c>
      <c r="F42" s="203">
        <v>5</v>
      </c>
      <c r="G42" s="204">
        <v>6</v>
      </c>
      <c r="H42" s="205">
        <v>7</v>
      </c>
      <c r="I42" s="240">
        <v>8</v>
      </c>
      <c r="J42" s="240">
        <v>9</v>
      </c>
      <c r="K42" s="240">
        <v>10</v>
      </c>
      <c r="L42" s="240">
        <v>11</v>
      </c>
      <c r="M42" s="240">
        <v>12</v>
      </c>
      <c r="N42" s="202"/>
      <c r="O42" s="185"/>
      <c r="P42" s="216"/>
    </row>
    <row r="43" spans="1:21" hidden="1" x14ac:dyDescent="0.25">
      <c r="A43" s="240">
        <v>1</v>
      </c>
      <c r="B43" s="299">
        <v>380.2</v>
      </c>
      <c r="C43" s="299">
        <v>461.8</v>
      </c>
      <c r="D43" s="299">
        <v>550.6</v>
      </c>
      <c r="E43" s="299">
        <v>642.4</v>
      </c>
      <c r="F43" s="299">
        <v>733.2</v>
      </c>
      <c r="G43" s="299">
        <v>820</v>
      </c>
      <c r="H43" s="299">
        <v>906.80000000000007</v>
      </c>
      <c r="I43" s="299">
        <v>993.6</v>
      </c>
      <c r="J43" s="299">
        <v>1080.4000000000001</v>
      </c>
      <c r="K43" s="299">
        <v>1167.2</v>
      </c>
      <c r="L43" s="299">
        <v>1254</v>
      </c>
      <c r="M43" s="299">
        <v>1340.8000000000002</v>
      </c>
      <c r="N43" s="202"/>
      <c r="O43" s="185"/>
      <c r="P43" s="216"/>
    </row>
    <row r="44" spans="1:21" hidden="1" x14ac:dyDescent="0.25">
      <c r="A44" s="240">
        <v>2</v>
      </c>
      <c r="B44" s="299">
        <v>427.2</v>
      </c>
      <c r="C44" s="299">
        <v>517.79999999999995</v>
      </c>
      <c r="D44" s="299">
        <v>616.6</v>
      </c>
      <c r="E44" s="299">
        <v>720.4</v>
      </c>
      <c r="F44" s="299">
        <v>821.2</v>
      </c>
      <c r="G44" s="299">
        <v>920</v>
      </c>
      <c r="H44" s="299">
        <v>1018.8000000000001</v>
      </c>
      <c r="I44" s="299">
        <v>1117.5999999999999</v>
      </c>
      <c r="J44" s="299">
        <v>1216.4000000000001</v>
      </c>
      <c r="K44" s="299">
        <v>1315.2</v>
      </c>
      <c r="L44" s="299">
        <v>1414</v>
      </c>
      <c r="M44" s="299">
        <v>1512.8000000000002</v>
      </c>
      <c r="N44" s="202"/>
      <c r="O44" s="185"/>
      <c r="P44" s="216"/>
    </row>
    <row r="45" spans="1:21" hidden="1" x14ac:dyDescent="0.25">
      <c r="A45" s="240">
        <v>3</v>
      </c>
      <c r="B45" s="299">
        <v>475.2</v>
      </c>
      <c r="C45" s="299">
        <v>575.79999999999995</v>
      </c>
      <c r="D45" s="299">
        <v>686.6</v>
      </c>
      <c r="E45" s="299">
        <v>800.4</v>
      </c>
      <c r="F45" s="299">
        <v>914.2</v>
      </c>
      <c r="G45" s="299">
        <v>1025</v>
      </c>
      <c r="H45" s="299">
        <v>1135.8</v>
      </c>
      <c r="I45" s="299">
        <v>1246.5999999999999</v>
      </c>
      <c r="J45" s="299">
        <v>1357.4</v>
      </c>
      <c r="K45" s="299">
        <v>1468.2</v>
      </c>
      <c r="L45" s="299">
        <v>1579</v>
      </c>
      <c r="M45" s="299">
        <v>1689.8000000000002</v>
      </c>
      <c r="N45" s="202"/>
      <c r="O45" s="185"/>
      <c r="P45" s="216"/>
    </row>
    <row r="46" spans="1:21" hidden="1" x14ac:dyDescent="0.25">
      <c r="A46" s="240">
        <v>4</v>
      </c>
      <c r="B46" s="299">
        <v>530.20000000000005</v>
      </c>
      <c r="C46" s="299">
        <v>643.79999999999995</v>
      </c>
      <c r="D46" s="299">
        <v>766.6</v>
      </c>
      <c r="E46" s="299">
        <v>892.4</v>
      </c>
      <c r="F46" s="299">
        <v>1021.2</v>
      </c>
      <c r="G46" s="299">
        <v>1145</v>
      </c>
      <c r="H46" s="299">
        <v>1268.8</v>
      </c>
      <c r="I46" s="299">
        <v>1392.6</v>
      </c>
      <c r="J46" s="299">
        <v>1516.4</v>
      </c>
      <c r="K46" s="299">
        <v>1640.2</v>
      </c>
      <c r="L46" s="299">
        <v>1764</v>
      </c>
      <c r="M46" s="299">
        <v>1887.8000000000002</v>
      </c>
      <c r="N46" s="202"/>
      <c r="O46" s="185"/>
      <c r="P46" s="216"/>
    </row>
    <row r="47" spans="1:21" hidden="1" x14ac:dyDescent="0.25">
      <c r="A47" s="240">
        <v>5</v>
      </c>
      <c r="B47" s="299">
        <v>581.20000000000005</v>
      </c>
      <c r="C47" s="299">
        <v>704.8</v>
      </c>
      <c r="D47" s="299">
        <v>838.6</v>
      </c>
      <c r="E47" s="299">
        <v>980.4</v>
      </c>
      <c r="F47" s="299">
        <v>1119.2</v>
      </c>
      <c r="G47" s="299">
        <v>1253</v>
      </c>
      <c r="H47" s="299">
        <v>1386.8000000000002</v>
      </c>
      <c r="I47" s="299">
        <v>1520.6000000000001</v>
      </c>
      <c r="J47" s="299">
        <v>1654.4</v>
      </c>
      <c r="K47" s="299">
        <v>1788.2</v>
      </c>
      <c r="L47" s="299">
        <v>1922</v>
      </c>
      <c r="M47" s="299">
        <v>2055.8000000000002</v>
      </c>
      <c r="N47" s="202"/>
      <c r="O47" s="185"/>
      <c r="P47" s="216"/>
    </row>
    <row r="48" spans="1:21" hidden="1" x14ac:dyDescent="0.25">
      <c r="A48" s="240">
        <v>6</v>
      </c>
      <c r="B48" s="299">
        <v>634.20000000000005</v>
      </c>
      <c r="C48" s="299">
        <v>769.8</v>
      </c>
      <c r="D48" s="299">
        <v>916.6</v>
      </c>
      <c r="E48" s="299">
        <v>1069.4000000000001</v>
      </c>
      <c r="F48" s="299">
        <v>1222.2</v>
      </c>
      <c r="G48" s="299">
        <v>1376</v>
      </c>
      <c r="H48" s="299">
        <v>1529.8000000000002</v>
      </c>
      <c r="I48" s="299">
        <v>1683.6000000000001</v>
      </c>
      <c r="J48" s="299">
        <v>1837.4</v>
      </c>
      <c r="K48" s="299">
        <v>1991.2</v>
      </c>
      <c r="L48" s="299">
        <v>2145</v>
      </c>
      <c r="M48" s="299">
        <v>2298.8000000000002</v>
      </c>
      <c r="N48" s="202"/>
      <c r="O48" s="185"/>
      <c r="P48" s="216"/>
    </row>
    <row r="49" spans="1:18" hidden="1" x14ac:dyDescent="0.25">
      <c r="A49" s="240">
        <v>7</v>
      </c>
      <c r="B49" s="299">
        <v>696.2</v>
      </c>
      <c r="C49" s="299">
        <v>844.8</v>
      </c>
      <c r="D49" s="299">
        <v>1004.6</v>
      </c>
      <c r="E49" s="299">
        <v>1173.4000000000001</v>
      </c>
      <c r="F49" s="299">
        <v>1341.2</v>
      </c>
      <c r="G49" s="299">
        <v>1509</v>
      </c>
      <c r="H49" s="299">
        <v>1676.8000000000002</v>
      </c>
      <c r="I49" s="299">
        <v>1844.6000000000001</v>
      </c>
      <c r="J49" s="299">
        <v>2012.4</v>
      </c>
      <c r="K49" s="299">
        <v>2180.1999999999998</v>
      </c>
      <c r="L49" s="299">
        <v>2348</v>
      </c>
      <c r="M49" s="299">
        <v>2515.8000000000002</v>
      </c>
      <c r="N49" s="202"/>
      <c r="O49" s="185"/>
      <c r="P49" s="216"/>
    </row>
    <row r="50" spans="1:18" x14ac:dyDescent="0.25">
      <c r="A50" s="243" t="s">
        <v>387</v>
      </c>
      <c r="B50" s="239">
        <f>(B$40/9*10)+100</f>
        <v>1186.8061703860903</v>
      </c>
      <c r="C50" s="241" t="s">
        <v>388</v>
      </c>
      <c r="D50" s="248"/>
      <c r="I50" s="201"/>
      <c r="J50" s="201"/>
      <c r="K50" s="201"/>
      <c r="L50" s="231"/>
      <c r="M50" s="231"/>
      <c r="N50" s="202"/>
      <c r="O50" s="185"/>
      <c r="P50" s="216"/>
    </row>
    <row r="51" spans="1:18" ht="13.5" customHeight="1" x14ac:dyDescent="0.25">
      <c r="A51" s="243" t="s">
        <v>389</v>
      </c>
      <c r="B51" s="239">
        <f>(B$40/8*10)+100</f>
        <v>1322.6569416843518</v>
      </c>
      <c r="C51" s="241" t="s">
        <v>388</v>
      </c>
      <c r="D51" s="248"/>
      <c r="I51" s="201"/>
      <c r="J51" s="201"/>
      <c r="K51" s="201"/>
      <c r="L51" s="231"/>
      <c r="M51" s="231"/>
      <c r="N51" s="202"/>
      <c r="O51" s="185"/>
      <c r="P51" s="216"/>
    </row>
    <row r="52" spans="1:18" x14ac:dyDescent="0.25">
      <c r="A52" s="243" t="s">
        <v>390</v>
      </c>
      <c r="B52" s="239">
        <f>(B$40/7*10)+100</f>
        <v>1497.3222190678305</v>
      </c>
      <c r="C52" s="241" t="s">
        <v>388</v>
      </c>
      <c r="D52" s="248"/>
      <c r="I52" s="448" t="s">
        <v>391</v>
      </c>
      <c r="J52" s="449"/>
      <c r="K52" s="449"/>
      <c r="L52" s="449"/>
      <c r="M52" s="450"/>
      <c r="N52" s="202"/>
      <c r="O52" s="206">
        <f>R52</f>
        <v>0</v>
      </c>
      <c r="P52" s="218"/>
      <c r="Q52" s="24" t="b">
        <v>0</v>
      </c>
      <c r="R52" s="24">
        <f>IF(Q52=TRUE,110,0)</f>
        <v>0</v>
      </c>
    </row>
    <row r="53" spans="1:18" x14ac:dyDescent="0.25">
      <c r="C53" s="189"/>
      <c r="I53" s="207" t="s">
        <v>392</v>
      </c>
      <c r="J53" s="208"/>
      <c r="K53" s="209"/>
      <c r="L53" s="232"/>
      <c r="M53" s="232"/>
      <c r="N53" s="202"/>
      <c r="O53" s="206">
        <f>R53</f>
        <v>0</v>
      </c>
      <c r="P53" s="218"/>
      <c r="Q53" s="24" t="b">
        <v>0</v>
      </c>
      <c r="R53" s="24">
        <f>IF(Q53=TRUE,150,0)</f>
        <v>0</v>
      </c>
    </row>
    <row r="54" spans="1:18" ht="30.75" customHeight="1" thickBot="1" x14ac:dyDescent="0.3">
      <c r="I54" s="451" t="s">
        <v>393</v>
      </c>
      <c r="J54" s="452"/>
      <c r="K54" s="452"/>
      <c r="L54" s="452"/>
      <c r="M54" s="453"/>
      <c r="N54" s="202"/>
      <c r="O54" s="206">
        <f>R54</f>
        <v>0</v>
      </c>
      <c r="P54" s="218"/>
      <c r="Q54" s="24" t="b">
        <v>0</v>
      </c>
      <c r="R54" s="24">
        <f>IF(Q54=TRUE,150,0)</f>
        <v>0</v>
      </c>
    </row>
    <row r="55" spans="1:18" ht="30.75" customHeight="1" thickBot="1" x14ac:dyDescent="0.3">
      <c r="G55" s="378">
        <v>82</v>
      </c>
      <c r="I55" s="466" t="s">
        <v>394</v>
      </c>
      <c r="J55" s="467"/>
      <c r="K55" s="467"/>
      <c r="L55" s="467"/>
      <c r="M55" s="468"/>
      <c r="N55" s="202"/>
      <c r="O55" s="206">
        <f>R55</f>
        <v>0</v>
      </c>
      <c r="P55" s="218"/>
      <c r="Q55" s="24" t="b">
        <v>0</v>
      </c>
      <c r="R55" s="24">
        <f>IF(Q55=TRUE,75,0)</f>
        <v>0</v>
      </c>
    </row>
    <row r="56" spans="1:18" ht="29.25" customHeight="1" thickBot="1" x14ac:dyDescent="0.3">
      <c r="G56" s="380">
        <v>94</v>
      </c>
      <c r="I56" s="451" t="s">
        <v>395</v>
      </c>
      <c r="J56" s="452"/>
      <c r="K56" s="452"/>
      <c r="L56" s="452"/>
      <c r="M56" s="453"/>
      <c r="N56" s="210" t="s">
        <v>396</v>
      </c>
      <c r="O56" s="198">
        <v>0</v>
      </c>
      <c r="P56" s="217"/>
    </row>
    <row r="57" spans="1:18" ht="15.75" thickBot="1" x14ac:dyDescent="0.3">
      <c r="G57" s="380">
        <v>106</v>
      </c>
      <c r="I57" s="448" t="s">
        <v>397</v>
      </c>
      <c r="J57" s="449"/>
      <c r="K57" s="449"/>
      <c r="L57" s="449"/>
      <c r="M57" s="450"/>
      <c r="N57" s="210" t="s">
        <v>396</v>
      </c>
      <c r="O57" s="198">
        <v>0</v>
      </c>
      <c r="P57" s="217"/>
    </row>
    <row r="58" spans="1:18" ht="15.75" thickBot="1" x14ac:dyDescent="0.3">
      <c r="G58" s="380">
        <v>119</v>
      </c>
      <c r="I58" s="448" t="s">
        <v>398</v>
      </c>
      <c r="J58" s="450"/>
      <c r="K58" s="209"/>
      <c r="L58" s="232"/>
      <c r="M58" s="232"/>
      <c r="N58" s="210" t="s">
        <v>396</v>
      </c>
      <c r="O58" s="198">
        <v>0</v>
      </c>
      <c r="P58" s="217"/>
    </row>
    <row r="59" spans="1:18" ht="16.5" thickBot="1" x14ac:dyDescent="0.3">
      <c r="G59" s="380">
        <v>129</v>
      </c>
      <c r="I59" s="469" t="s">
        <v>399</v>
      </c>
      <c r="J59" s="470"/>
      <c r="K59" s="471"/>
      <c r="L59" s="233"/>
      <c r="M59" s="233"/>
      <c r="N59" s="211"/>
      <c r="O59" s="212">
        <f>O17+O18+O19+O20+O21+O22+O23+O34+O35+O36+O37-O40-O50-O51-O52-O53-O54-O55-O56-O57-O58</f>
        <v>0</v>
      </c>
      <c r="P59" s="219"/>
    </row>
    <row r="60" spans="1:18" ht="15.75" thickBot="1" x14ac:dyDescent="0.3">
      <c r="G60" s="380">
        <v>149</v>
      </c>
    </row>
    <row r="61" spans="1:18" ht="15.75" hidden="1" thickBot="1" x14ac:dyDescent="0.3">
      <c r="A61">
        <v>1</v>
      </c>
      <c r="B61">
        <v>361</v>
      </c>
      <c r="C61">
        <v>437</v>
      </c>
      <c r="D61">
        <v>521</v>
      </c>
      <c r="E61">
        <v>608</v>
      </c>
      <c r="F61">
        <v>694</v>
      </c>
      <c r="G61" s="380">
        <v>776</v>
      </c>
      <c r="H61">
        <v>858</v>
      </c>
      <c r="I61">
        <v>940</v>
      </c>
      <c r="J61">
        <v>1022</v>
      </c>
      <c r="K61">
        <v>1104</v>
      </c>
      <c r="L61">
        <v>1186</v>
      </c>
      <c r="M61">
        <v>1268</v>
      </c>
    </row>
    <row r="62" spans="1:18" hidden="1" x14ac:dyDescent="0.25">
      <c r="A62">
        <v>2</v>
      </c>
      <c r="B62">
        <v>408</v>
      </c>
      <c r="C62">
        <v>493</v>
      </c>
      <c r="D62">
        <v>587</v>
      </c>
      <c r="E62">
        <v>686</v>
      </c>
      <c r="F62">
        <v>782</v>
      </c>
      <c r="G62">
        <v>876</v>
      </c>
      <c r="H62">
        <v>970</v>
      </c>
      <c r="I62">
        <v>1064</v>
      </c>
      <c r="J62">
        <v>1158</v>
      </c>
      <c r="K62">
        <v>1252</v>
      </c>
      <c r="L62">
        <v>1346</v>
      </c>
      <c r="M62">
        <v>1440</v>
      </c>
    </row>
    <row r="63" spans="1:18" hidden="1" x14ac:dyDescent="0.25">
      <c r="A63">
        <v>3</v>
      </c>
      <c r="B63">
        <v>456</v>
      </c>
      <c r="C63">
        <v>551</v>
      </c>
      <c r="D63">
        <v>657</v>
      </c>
      <c r="E63">
        <v>766</v>
      </c>
      <c r="F63">
        <v>875</v>
      </c>
      <c r="G63">
        <v>981</v>
      </c>
      <c r="H63">
        <v>1087</v>
      </c>
      <c r="I63">
        <v>1193</v>
      </c>
      <c r="J63">
        <v>1299</v>
      </c>
      <c r="K63">
        <v>1405</v>
      </c>
      <c r="L63">
        <v>1511</v>
      </c>
      <c r="M63">
        <v>1617</v>
      </c>
    </row>
    <row r="64" spans="1:18" hidden="1" x14ac:dyDescent="0.25">
      <c r="A64">
        <v>4</v>
      </c>
      <c r="B64">
        <v>511</v>
      </c>
      <c r="C64">
        <v>619</v>
      </c>
      <c r="D64">
        <v>737</v>
      </c>
      <c r="E64">
        <v>858</v>
      </c>
      <c r="F64">
        <v>982</v>
      </c>
      <c r="G64">
        <v>1101</v>
      </c>
      <c r="H64">
        <v>1220</v>
      </c>
      <c r="I64">
        <v>1339</v>
      </c>
      <c r="J64">
        <v>1458</v>
      </c>
      <c r="K64">
        <v>1577</v>
      </c>
      <c r="L64">
        <v>1696</v>
      </c>
      <c r="M64">
        <v>1815</v>
      </c>
    </row>
    <row r="65" spans="1:13" hidden="1" x14ac:dyDescent="0.25">
      <c r="A65">
        <v>5</v>
      </c>
      <c r="B65">
        <v>562</v>
      </c>
      <c r="C65">
        <v>680</v>
      </c>
      <c r="D65">
        <v>809</v>
      </c>
      <c r="E65">
        <v>946</v>
      </c>
      <c r="F65">
        <v>1080</v>
      </c>
      <c r="G65">
        <v>1209</v>
      </c>
      <c r="H65">
        <v>1338</v>
      </c>
      <c r="I65">
        <v>1467</v>
      </c>
      <c r="J65">
        <v>1596</v>
      </c>
      <c r="K65">
        <v>1725</v>
      </c>
      <c r="L65">
        <v>1854</v>
      </c>
      <c r="M65">
        <v>1983</v>
      </c>
    </row>
    <row r="66" spans="1:13" hidden="1" x14ac:dyDescent="0.25">
      <c r="A66">
        <v>6</v>
      </c>
      <c r="B66">
        <v>615</v>
      </c>
      <c r="C66">
        <v>745</v>
      </c>
      <c r="D66">
        <v>887</v>
      </c>
      <c r="E66">
        <v>1035</v>
      </c>
      <c r="F66">
        <v>1183</v>
      </c>
      <c r="G66">
        <v>1332</v>
      </c>
      <c r="H66">
        <v>1481</v>
      </c>
      <c r="I66">
        <v>1630</v>
      </c>
      <c r="J66">
        <v>1779</v>
      </c>
      <c r="K66">
        <v>1928</v>
      </c>
      <c r="L66">
        <v>2077</v>
      </c>
      <c r="M66">
        <v>2226</v>
      </c>
    </row>
    <row r="67" spans="1:13" hidden="1" x14ac:dyDescent="0.25">
      <c r="A67">
        <v>7</v>
      </c>
      <c r="B67">
        <v>677</v>
      </c>
      <c r="C67">
        <v>820</v>
      </c>
      <c r="D67">
        <v>975</v>
      </c>
      <c r="E67">
        <v>1139</v>
      </c>
      <c r="F67">
        <v>1302</v>
      </c>
      <c r="G67">
        <v>1465</v>
      </c>
      <c r="H67">
        <v>1628</v>
      </c>
      <c r="I67">
        <v>1791</v>
      </c>
      <c r="J67">
        <v>1954</v>
      </c>
      <c r="K67">
        <v>2117</v>
      </c>
      <c r="L67">
        <v>2280</v>
      </c>
      <c r="M67">
        <v>2443</v>
      </c>
    </row>
    <row r="68" spans="1:13" hidden="1" x14ac:dyDescent="0.25"/>
    <row r="69" spans="1:13" hidden="1" x14ac:dyDescent="0.25">
      <c r="A69" t="s">
        <v>418</v>
      </c>
      <c r="B69">
        <v>19.2</v>
      </c>
      <c r="C69">
        <v>24.8</v>
      </c>
      <c r="D69">
        <v>29.6</v>
      </c>
      <c r="I69">
        <v>34.4</v>
      </c>
      <c r="J69">
        <v>39.200000000000003</v>
      </c>
      <c r="K69">
        <f>J69+4.8</f>
        <v>44</v>
      </c>
      <c r="L69">
        <f>K69+4.8</f>
        <v>48.8</v>
      </c>
      <c r="M69">
        <f>L69+4.8</f>
        <v>53.599999999999994</v>
      </c>
    </row>
  </sheetData>
  <sheetProtection algorithmName="SHA-512" hashValue="6SAeqP3D18qm/+ftwCYwkmKi0ZdRZgsi0hBma6F2aJCR41fogZlMmJuIvyxa318G/sa8c0tjx5y3Ywwm2nTrWA==" saltValue="2pNITQhLW5w+hr7X5l6VAA==" spinCount="100000" sheet="1" selectLockedCells="1"/>
  <mergeCells count="14">
    <mergeCell ref="I55:M55"/>
    <mergeCell ref="I56:M56"/>
    <mergeCell ref="I57:M57"/>
    <mergeCell ref="I58:J58"/>
    <mergeCell ref="I59:K59"/>
    <mergeCell ref="P15:P16"/>
    <mergeCell ref="I52:M52"/>
    <mergeCell ref="I54:M54"/>
    <mergeCell ref="A1:O1"/>
    <mergeCell ref="A15:G15"/>
    <mergeCell ref="I15:O15"/>
    <mergeCell ref="I32:L32"/>
    <mergeCell ref="I39:L39"/>
    <mergeCell ref="A39:D39"/>
  </mergeCells>
  <dataValidations count="1">
    <dataValidation type="list" allowBlank="1" showInputMessage="1" showErrorMessage="1" sqref="P17:P37" xr:uid="{00000000-0002-0000-0600-000000000000}">
      <formula1>$Q$17:$Q$20</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13</xdr:col>
                    <xdr:colOff>228600</xdr:colOff>
                    <xdr:row>51</xdr:row>
                    <xdr:rowOff>28575</xdr:rowOff>
                  </from>
                  <to>
                    <xdr:col>13</xdr:col>
                    <xdr:colOff>542925</xdr:colOff>
                    <xdr:row>51</xdr:row>
                    <xdr:rowOff>152400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13</xdr:col>
                    <xdr:colOff>238125</xdr:colOff>
                    <xdr:row>51</xdr:row>
                    <xdr:rowOff>180975</xdr:rowOff>
                  </from>
                  <to>
                    <xdr:col>13</xdr:col>
                    <xdr:colOff>542925</xdr:colOff>
                    <xdr:row>53</xdr:row>
                    <xdr:rowOff>28575</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13</xdr:col>
                    <xdr:colOff>238125</xdr:colOff>
                    <xdr:row>53</xdr:row>
                    <xdr:rowOff>28575</xdr:rowOff>
                  </from>
                  <to>
                    <xdr:col>13</xdr:col>
                    <xdr:colOff>542925</xdr:colOff>
                    <xdr:row>54</xdr:row>
                    <xdr:rowOff>123825</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13</xdr:col>
                    <xdr:colOff>257175</xdr:colOff>
                    <xdr:row>54</xdr:row>
                    <xdr:rowOff>76200</xdr:rowOff>
                  </from>
                  <to>
                    <xdr:col>13</xdr:col>
                    <xdr:colOff>561975</xdr:colOff>
                    <xdr:row>55</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dimension ref="A1:AB59"/>
  <sheetViews>
    <sheetView zoomScale="120" zoomScaleNormal="120" workbookViewId="0">
      <selection activeCell="K23" sqref="K23"/>
    </sheetView>
    <sheetView workbookViewId="1"/>
  </sheetViews>
  <sheetFormatPr baseColWidth="10" defaultColWidth="11.42578125" defaultRowHeight="15" x14ac:dyDescent="0.25"/>
  <cols>
    <col min="1" max="1" width="18.42578125" customWidth="1"/>
    <col min="2" max="2" width="19.42578125" customWidth="1"/>
    <col min="3" max="3" width="13.140625" bestFit="1" customWidth="1"/>
    <col min="4" max="4" width="12.42578125" customWidth="1"/>
    <col min="5" max="6" width="10.85546875" hidden="1" customWidth="1"/>
    <col min="7" max="7" width="12.42578125" hidden="1" customWidth="1"/>
    <col min="8" max="8" width="1.85546875" customWidth="1"/>
    <col min="9" max="9" width="16.140625" customWidth="1"/>
    <col min="10" max="10" width="19.85546875" customWidth="1"/>
    <col min="11" max="11" width="12.5703125" customWidth="1"/>
    <col min="12" max="12" width="15.85546875" customWidth="1"/>
    <col min="13" max="13" width="15" customWidth="1"/>
    <col min="15" max="15" width="19.5703125" style="213" customWidth="1"/>
    <col min="16" max="16" width="11.85546875" customWidth="1"/>
    <col min="17" max="18" width="11.42578125" hidden="1" customWidth="1"/>
    <col min="19" max="20" width="24.5703125" hidden="1" customWidth="1"/>
    <col min="21" max="21" width="24.5703125" style="234" hidden="1" customWidth="1"/>
    <col min="22" max="28" width="26" hidden="1" customWidth="1"/>
    <col min="29" max="46" width="11.42578125" customWidth="1"/>
  </cols>
  <sheetData>
    <row r="1" spans="1:28" ht="58.5" customHeight="1" x14ac:dyDescent="0.25">
      <c r="A1" s="399"/>
      <c r="B1" s="399"/>
      <c r="C1" s="399"/>
      <c r="D1" s="399"/>
      <c r="E1" s="399"/>
      <c r="F1" s="399"/>
      <c r="G1" s="399"/>
      <c r="H1" s="399"/>
      <c r="I1" s="399"/>
      <c r="J1" s="399"/>
      <c r="K1" s="399"/>
      <c r="L1" s="399"/>
      <c r="M1" s="399"/>
      <c r="N1" s="399"/>
      <c r="O1" s="399"/>
      <c r="P1" s="85"/>
      <c r="R1" t="s">
        <v>342</v>
      </c>
      <c r="S1" s="234">
        <f t="shared" ref="S1:AB1" si="0">B6/B8+B7*$D21/B8</f>
        <v>2620.2129870129875</v>
      </c>
      <c r="T1" s="234">
        <f t="shared" si="0"/>
        <v>2618.7779710144928</v>
      </c>
      <c r="U1" s="234">
        <f t="shared" si="0"/>
        <v>2492.388489208633</v>
      </c>
      <c r="V1" s="234">
        <f t="shared" si="0"/>
        <v>2327.8119999999999</v>
      </c>
      <c r="W1" s="234">
        <f t="shared" si="0"/>
        <v>1653.1487179487178</v>
      </c>
      <c r="X1" s="234">
        <f t="shared" si="0"/>
        <v>1016.0680851063828</v>
      </c>
      <c r="Y1" s="234">
        <f t="shared" si="0"/>
        <v>369.50160427807486</v>
      </c>
      <c r="Z1" s="234">
        <f t="shared" si="0"/>
        <v>-173.07379679144401</v>
      </c>
      <c r="AA1" s="234">
        <f t="shared" si="0"/>
        <v>-890.65531914893609</v>
      </c>
      <c r="AB1" s="234">
        <f t="shared" si="0"/>
        <v>-2068.510638297872</v>
      </c>
    </row>
    <row r="2" spans="1:28" s="167" customFormat="1" ht="18.75" x14ac:dyDescent="0.3">
      <c r="A2" s="167" t="s">
        <v>420</v>
      </c>
      <c r="J2" s="168"/>
      <c r="O2" s="169" t="s">
        <v>343</v>
      </c>
      <c r="P2" s="169"/>
      <c r="Q2" s="169" t="s">
        <v>344</v>
      </c>
      <c r="R2" s="167" t="s">
        <v>345</v>
      </c>
      <c r="S2" s="235">
        <f>-$D21/B8+9.5/B8</f>
        <v>-3309523.8095238102</v>
      </c>
      <c r="T2" s="235">
        <f t="shared" ref="T2:AB2" si="1">-$D21/C8+10/C8</f>
        <v>-4417391.3043478262</v>
      </c>
      <c r="U2" s="235">
        <f t="shared" si="1"/>
        <v>-5482014.3884892091</v>
      </c>
      <c r="V2" s="235">
        <f t="shared" si="1"/>
        <v>-7620000</v>
      </c>
      <c r="W2" s="235">
        <f t="shared" si="1"/>
        <v>-7815384.615384616</v>
      </c>
      <c r="X2" s="235">
        <f t="shared" si="1"/>
        <v>-8106382.9787234049</v>
      </c>
      <c r="Y2" s="235">
        <f t="shared" si="1"/>
        <v>-8149732.6203208547</v>
      </c>
      <c r="Z2" s="235">
        <f t="shared" si="1"/>
        <v>-8149732.6203208547</v>
      </c>
      <c r="AA2" s="235">
        <f t="shared" si="1"/>
        <v>-8106382.9787234049</v>
      </c>
      <c r="AB2" s="235">
        <f t="shared" si="1"/>
        <v>-8106382.9787234049</v>
      </c>
    </row>
    <row r="3" spans="1:28" hidden="1" x14ac:dyDescent="0.25">
      <c r="O3" s="170">
        <v>1</v>
      </c>
      <c r="P3" s="215"/>
      <c r="Q3" s="292">
        <v>110.4</v>
      </c>
      <c r="S3" s="234"/>
      <c r="T3" s="234"/>
      <c r="V3" s="234"/>
      <c r="W3" s="234"/>
      <c r="X3" s="234"/>
      <c r="Y3" s="234"/>
      <c r="Z3" s="234"/>
      <c r="AA3" s="234"/>
      <c r="AB3" s="234"/>
    </row>
    <row r="4" spans="1:28" hidden="1" x14ac:dyDescent="0.25">
      <c r="A4" s="59" t="s">
        <v>346</v>
      </c>
      <c r="C4" s="172"/>
      <c r="O4" s="170">
        <v>2</v>
      </c>
      <c r="P4" s="215"/>
      <c r="Q4" s="292">
        <v>142.6</v>
      </c>
      <c r="S4" s="234">
        <v>1</v>
      </c>
      <c r="T4" s="234">
        <v>2</v>
      </c>
      <c r="U4" s="234">
        <v>3</v>
      </c>
      <c r="V4" s="234">
        <v>4</v>
      </c>
      <c r="W4" s="234">
        <v>5</v>
      </c>
      <c r="X4" s="234">
        <v>6</v>
      </c>
      <c r="Y4" s="234">
        <v>7</v>
      </c>
      <c r="Z4" s="234">
        <v>8</v>
      </c>
      <c r="AA4" s="234">
        <v>9</v>
      </c>
      <c r="AB4" s="234">
        <v>10</v>
      </c>
    </row>
    <row r="5" spans="1:28" s="174" customFormat="1" hidden="1" x14ac:dyDescent="0.25">
      <c r="A5" s="173" t="s">
        <v>347</v>
      </c>
      <c r="B5" s="4">
        <v>1</v>
      </c>
      <c r="C5" s="4">
        <v>2</v>
      </c>
      <c r="D5" s="4">
        <v>3</v>
      </c>
      <c r="E5" s="4">
        <v>4</v>
      </c>
      <c r="F5" s="4">
        <v>5</v>
      </c>
      <c r="G5" s="4">
        <v>6</v>
      </c>
      <c r="H5" s="4">
        <v>7</v>
      </c>
      <c r="I5" s="4">
        <v>8</v>
      </c>
      <c r="J5" s="4">
        <v>9</v>
      </c>
      <c r="K5" s="4">
        <v>10</v>
      </c>
      <c r="L5" s="4">
        <v>11</v>
      </c>
      <c r="M5" s="4">
        <v>12</v>
      </c>
      <c r="O5" s="170">
        <v>3</v>
      </c>
      <c r="P5" s="215"/>
      <c r="Q5" s="292">
        <v>170.2</v>
      </c>
      <c r="S5" s="236">
        <f t="shared" ref="S5:AB5" si="2">-S1/2</f>
        <v>-1310.1064935064937</v>
      </c>
      <c r="T5" s="236">
        <f t="shared" si="2"/>
        <v>-1309.3889855072464</v>
      </c>
      <c r="U5" s="236">
        <f t="shared" si="2"/>
        <v>-1246.1942446043165</v>
      </c>
      <c r="V5" s="236">
        <f t="shared" si="2"/>
        <v>-1163.9059999999999</v>
      </c>
      <c r="W5" s="236">
        <f t="shared" si="2"/>
        <v>-826.57435897435892</v>
      </c>
      <c r="X5" s="236">
        <f t="shared" si="2"/>
        <v>-508.0340425531914</v>
      </c>
      <c r="Y5" s="236">
        <f t="shared" si="2"/>
        <v>-184.75080213903743</v>
      </c>
      <c r="Z5" s="236">
        <f t="shared" si="2"/>
        <v>86.536898395722005</v>
      </c>
      <c r="AA5" s="236">
        <f t="shared" si="2"/>
        <v>445.32765957446804</v>
      </c>
      <c r="AB5" s="236">
        <f t="shared" si="2"/>
        <v>1034.255319148936</v>
      </c>
    </row>
    <row r="6" spans="1:28" ht="15.75" hidden="1" thickBot="1" x14ac:dyDescent="0.3">
      <c r="A6" s="172" t="s">
        <v>348</v>
      </c>
      <c r="B6" s="293">
        <v>0.04</v>
      </c>
      <c r="C6" s="293">
        <v>0.03</v>
      </c>
      <c r="D6" s="293">
        <v>0.02</v>
      </c>
      <c r="E6" s="293">
        <v>0.01</v>
      </c>
      <c r="F6" s="294">
        <v>0</v>
      </c>
      <c r="G6" s="293">
        <v>-0.01</v>
      </c>
      <c r="H6" s="293">
        <v>-0.02</v>
      </c>
      <c r="I6" s="293">
        <v>-0.03</v>
      </c>
      <c r="J6" s="293">
        <v>-0.04</v>
      </c>
      <c r="K6" s="293">
        <v>-0.06</v>
      </c>
      <c r="L6" s="293">
        <v>-0.09</v>
      </c>
      <c r="M6" s="293">
        <v>-0.12</v>
      </c>
      <c r="O6" s="170">
        <v>4</v>
      </c>
      <c r="P6" s="215"/>
      <c r="Q6" s="292">
        <v>197.8</v>
      </c>
      <c r="R6" t="s">
        <v>349</v>
      </c>
      <c r="S6" s="234">
        <f t="shared" ref="S6:AB6" si="3">S1/2</f>
        <v>1310.1064935064937</v>
      </c>
      <c r="T6" s="234">
        <f t="shared" si="3"/>
        <v>1309.3889855072464</v>
      </c>
      <c r="U6" s="234">
        <f t="shared" si="3"/>
        <v>1246.1942446043165</v>
      </c>
      <c r="V6" s="234">
        <f t="shared" si="3"/>
        <v>1163.9059999999999</v>
      </c>
      <c r="W6" s="234">
        <f t="shared" si="3"/>
        <v>826.57435897435892</v>
      </c>
      <c r="X6" s="234">
        <f t="shared" si="3"/>
        <v>508.0340425531914</v>
      </c>
      <c r="Y6" s="234">
        <f t="shared" si="3"/>
        <v>184.75080213903743</v>
      </c>
      <c r="Z6" s="234">
        <f t="shared" si="3"/>
        <v>-86.536898395722005</v>
      </c>
      <c r="AA6" s="234">
        <f t="shared" si="3"/>
        <v>-445.32765957446804</v>
      </c>
      <c r="AB6" s="234">
        <f t="shared" si="3"/>
        <v>-1034.255319148936</v>
      </c>
    </row>
    <row r="7" spans="1:28" ht="15.75" hidden="1" thickBot="1" x14ac:dyDescent="0.3">
      <c r="A7" s="172" t="s">
        <v>337</v>
      </c>
      <c r="B7" s="293">
        <v>4.9910000000000004E-4</v>
      </c>
      <c r="C7" s="293">
        <v>3.7159999999999998E-4</v>
      </c>
      <c r="D7" s="293">
        <v>3.035E-4</v>
      </c>
      <c r="E7" s="293">
        <v>2.251E-4</v>
      </c>
      <c r="F7" s="293">
        <v>1.985E-4</v>
      </c>
      <c r="G7" s="293">
        <v>1.7919999999999999E-4</v>
      </c>
      <c r="H7" s="293">
        <v>1.6569999999999999E-4</v>
      </c>
      <c r="I7" s="293">
        <v>1.6479999999999999E-4</v>
      </c>
      <c r="J7" s="293">
        <v>1.4320000000000001E-4</v>
      </c>
      <c r="K7" s="293">
        <v>1.2999999999999999E-4</v>
      </c>
      <c r="L7" s="293">
        <v>1.188E-4</v>
      </c>
      <c r="M7" s="293">
        <v>1.1519999999999999E-4</v>
      </c>
      <c r="O7" s="170">
        <v>5</v>
      </c>
      <c r="P7" s="215"/>
      <c r="Q7" s="292">
        <v>225.4</v>
      </c>
      <c r="S7" s="234">
        <f t="shared" ref="S7:AB7" si="4">S6*S6</f>
        <v>1716379.0243278805</v>
      </c>
      <c r="T7" s="234">
        <f t="shared" si="4"/>
        <v>1714499.5153676958</v>
      </c>
      <c r="U7" s="234">
        <f t="shared" si="4"/>
        <v>1553000.095284923</v>
      </c>
      <c r="V7" s="234">
        <f t="shared" si="4"/>
        <v>1354677.1768359998</v>
      </c>
      <c r="W7" s="234">
        <f t="shared" si="4"/>
        <v>683225.17091387231</v>
      </c>
      <c r="X7" s="234">
        <f t="shared" si="4"/>
        <v>258098.58839293788</v>
      </c>
      <c r="Y7" s="234">
        <f t="shared" si="4"/>
        <v>34132.858891017757</v>
      </c>
      <c r="Z7" s="234">
        <f t="shared" si="4"/>
        <v>7488.6347839515138</v>
      </c>
      <c r="AA7" s="234">
        <f t="shared" si="4"/>
        <v>198316.7243820733</v>
      </c>
      <c r="AB7" s="234">
        <f t="shared" si="4"/>
        <v>1069684.0651878675</v>
      </c>
    </row>
    <row r="8" spans="1:28" ht="15.75" hidden="1" thickBot="1" x14ac:dyDescent="0.3">
      <c r="A8" s="172" t="s">
        <v>350</v>
      </c>
      <c r="B8" s="295">
        <v>4.6199999999999998E-5</v>
      </c>
      <c r="C8" s="295">
        <v>3.4499999999999998E-5</v>
      </c>
      <c r="D8" s="295">
        <v>2.7800000000000001E-5</v>
      </c>
      <c r="E8" s="295">
        <v>2.0000000000000002E-5</v>
      </c>
      <c r="F8" s="295">
        <v>1.95E-5</v>
      </c>
      <c r="G8" s="295">
        <v>1.88E-5</v>
      </c>
      <c r="H8" s="295">
        <v>1.8700000000000001E-5</v>
      </c>
      <c r="I8" s="295">
        <v>1.8700000000000001E-5</v>
      </c>
      <c r="J8" s="295">
        <v>1.88E-5</v>
      </c>
      <c r="K8" s="295">
        <v>1.88E-5</v>
      </c>
      <c r="L8" s="295">
        <v>2.2200000000000001E-5</v>
      </c>
      <c r="M8" s="295">
        <v>2.51E-5</v>
      </c>
      <c r="O8" s="170">
        <v>6</v>
      </c>
      <c r="P8" s="215"/>
      <c r="Q8" s="292">
        <f>Q7+27.6</f>
        <v>253</v>
      </c>
      <c r="S8" s="234">
        <f t="shared" ref="S8:AB8" si="5">S7-S2</f>
        <v>5025902.8338516904</v>
      </c>
      <c r="T8" s="234">
        <f t="shared" si="5"/>
        <v>6131890.8197155222</v>
      </c>
      <c r="U8" s="234">
        <f t="shared" si="5"/>
        <v>7035014.4837741321</v>
      </c>
      <c r="V8" s="234">
        <f t="shared" si="5"/>
        <v>8974677.1768359989</v>
      </c>
      <c r="W8" s="234">
        <f t="shared" si="5"/>
        <v>8498609.7862984873</v>
      </c>
      <c r="X8" s="234">
        <f t="shared" si="5"/>
        <v>8364481.5671163425</v>
      </c>
      <c r="Y8" s="234">
        <f t="shared" si="5"/>
        <v>8183865.4792118724</v>
      </c>
      <c r="Z8" s="234">
        <f t="shared" si="5"/>
        <v>8157221.2551048063</v>
      </c>
      <c r="AA8" s="234">
        <f t="shared" si="5"/>
        <v>8304699.7031054785</v>
      </c>
      <c r="AB8" s="234">
        <f t="shared" si="5"/>
        <v>9176067.0439112727</v>
      </c>
    </row>
    <row r="9" spans="1:28" hidden="1" x14ac:dyDescent="0.25">
      <c r="O9" s="170">
        <v>7</v>
      </c>
      <c r="P9" s="215"/>
      <c r="Q9" s="292">
        <f t="shared" ref="Q9:Q14" si="6">Q8+27.6</f>
        <v>280.60000000000002</v>
      </c>
      <c r="S9" s="234">
        <f t="shared" ref="S9:AB9" si="7">SQRT(S8)</f>
        <v>2241.8525450733127</v>
      </c>
      <c r="T9" s="234">
        <f t="shared" si="7"/>
        <v>2476.2654986320676</v>
      </c>
      <c r="U9" s="234">
        <f t="shared" si="7"/>
        <v>2652.3601723322063</v>
      </c>
      <c r="V9" s="234">
        <f t="shared" si="7"/>
        <v>2995.7765565602517</v>
      </c>
      <c r="W9" s="234">
        <f t="shared" si="7"/>
        <v>2915.2375179903415</v>
      </c>
      <c r="X9" s="234">
        <f t="shared" si="7"/>
        <v>2892.141346323921</v>
      </c>
      <c r="Y9" s="234">
        <f t="shared" si="7"/>
        <v>2860.7456159560697</v>
      </c>
      <c r="Z9" s="234">
        <f t="shared" si="7"/>
        <v>2856.0849523613274</v>
      </c>
      <c r="AA9" s="234">
        <f t="shared" si="7"/>
        <v>2881.7875881309292</v>
      </c>
      <c r="AB9" s="234">
        <f t="shared" si="7"/>
        <v>3029.202377509841</v>
      </c>
    </row>
    <row r="10" spans="1:28" s="59" customFormat="1" hidden="1" x14ac:dyDescent="0.25">
      <c r="A10" s="59" t="s">
        <v>351</v>
      </c>
      <c r="C10" s="59" t="s">
        <v>352</v>
      </c>
      <c r="D10" s="59" t="s">
        <v>353</v>
      </c>
      <c r="O10" s="170">
        <v>8</v>
      </c>
      <c r="P10" s="215"/>
      <c r="Q10" s="292">
        <f t="shared" si="6"/>
        <v>308.20000000000005</v>
      </c>
      <c r="S10" s="237">
        <f t="shared" ref="S10:AB10" si="8">S5+S9</f>
        <v>931.74605156681901</v>
      </c>
      <c r="T10" s="237">
        <f t="shared" si="8"/>
        <v>1166.8765131248213</v>
      </c>
      <c r="U10" s="237">
        <f t="shared" si="8"/>
        <v>1406.1659277278898</v>
      </c>
      <c r="V10" s="237">
        <f t="shared" si="8"/>
        <v>1831.8705565602518</v>
      </c>
      <c r="W10" s="237">
        <f t="shared" si="8"/>
        <v>2088.6631590159827</v>
      </c>
      <c r="X10" s="237">
        <f t="shared" si="8"/>
        <v>2384.1073037707297</v>
      </c>
      <c r="Y10" s="237">
        <f t="shared" si="8"/>
        <v>2675.9948138170321</v>
      </c>
      <c r="Z10" s="237">
        <f t="shared" si="8"/>
        <v>2942.6218507570493</v>
      </c>
      <c r="AA10" s="237">
        <f t="shared" si="8"/>
        <v>3327.1152477053975</v>
      </c>
      <c r="AB10" s="237">
        <f t="shared" si="8"/>
        <v>4063.457696658777</v>
      </c>
    </row>
    <row r="11" spans="1:28" hidden="1" x14ac:dyDescent="0.25">
      <c r="O11" s="170">
        <v>9</v>
      </c>
      <c r="P11" s="215"/>
      <c r="Q11" s="292">
        <f t="shared" si="6"/>
        <v>335.80000000000007</v>
      </c>
    </row>
    <row r="12" spans="1:28" ht="15.75" hidden="1" thickBot="1" x14ac:dyDescent="0.3">
      <c r="A12" s="175" t="s">
        <v>347</v>
      </c>
      <c r="B12" s="176">
        <v>1</v>
      </c>
      <c r="C12" s="176">
        <v>2</v>
      </c>
      <c r="D12" s="176">
        <v>3</v>
      </c>
      <c r="E12" s="176">
        <v>4</v>
      </c>
      <c r="F12" s="176">
        <v>5</v>
      </c>
      <c r="G12" s="176">
        <v>6</v>
      </c>
      <c r="H12" s="176">
        <v>7</v>
      </c>
      <c r="I12" s="176">
        <v>8</v>
      </c>
      <c r="J12" s="176">
        <v>9</v>
      </c>
      <c r="K12" s="176">
        <v>10</v>
      </c>
      <c r="L12" s="176">
        <v>11</v>
      </c>
      <c r="M12" s="176">
        <v>12</v>
      </c>
      <c r="O12" s="170">
        <v>10</v>
      </c>
      <c r="P12" s="215"/>
      <c r="Q12" s="292">
        <f t="shared" si="6"/>
        <v>363.40000000000009</v>
      </c>
    </row>
    <row r="13" spans="1:28" ht="15.75" hidden="1" thickBot="1" x14ac:dyDescent="0.3">
      <c r="A13" s="177" t="s">
        <v>354</v>
      </c>
      <c r="B13" s="177">
        <v>52</v>
      </c>
      <c r="C13" s="177">
        <v>64</v>
      </c>
      <c r="D13" s="177">
        <v>76</v>
      </c>
      <c r="E13" s="177">
        <v>88</v>
      </c>
      <c r="F13" s="177">
        <v>99</v>
      </c>
      <c r="G13" s="177">
        <v>99</v>
      </c>
      <c r="H13" s="177">
        <v>111</v>
      </c>
      <c r="I13" s="177">
        <v>123</v>
      </c>
      <c r="J13" s="177">
        <v>135</v>
      </c>
      <c r="K13" s="177">
        <v>146</v>
      </c>
      <c r="L13" s="177">
        <v>180</v>
      </c>
      <c r="M13" s="177">
        <v>286</v>
      </c>
      <c r="O13" s="170">
        <v>11</v>
      </c>
      <c r="P13" s="215"/>
      <c r="Q13" s="292">
        <f t="shared" si="6"/>
        <v>391.00000000000011</v>
      </c>
    </row>
    <row r="14" spans="1:28" hidden="1" x14ac:dyDescent="0.25">
      <c r="A14" s="177" t="s">
        <v>355</v>
      </c>
      <c r="B14" s="177">
        <v>350</v>
      </c>
      <c r="C14" s="177">
        <v>600</v>
      </c>
      <c r="D14" s="177">
        <v>800</v>
      </c>
      <c r="E14" s="177">
        <v>1000</v>
      </c>
      <c r="F14" s="177">
        <v>1200</v>
      </c>
      <c r="G14" s="177">
        <v>1400</v>
      </c>
      <c r="H14" s="177">
        <v>1600</v>
      </c>
      <c r="I14" s="177">
        <v>1800</v>
      </c>
      <c r="J14" s="177">
        <v>2000</v>
      </c>
      <c r="K14" s="177">
        <v>2200</v>
      </c>
      <c r="L14" s="178">
        <v>2400</v>
      </c>
      <c r="M14" s="178">
        <v>2600</v>
      </c>
      <c r="O14" s="170">
        <v>12</v>
      </c>
      <c r="P14" s="215"/>
      <c r="Q14" s="292">
        <f t="shared" si="6"/>
        <v>418.60000000000014</v>
      </c>
    </row>
    <row r="15" spans="1:28" x14ac:dyDescent="0.25">
      <c r="A15" s="454" t="s">
        <v>356</v>
      </c>
      <c r="B15" s="455"/>
      <c r="C15" s="455"/>
      <c r="D15" s="455"/>
      <c r="E15" s="455"/>
      <c r="F15" s="455"/>
      <c r="G15" s="455"/>
      <c r="I15" s="456" t="s">
        <v>357</v>
      </c>
      <c r="J15" s="457"/>
      <c r="K15" s="457"/>
      <c r="L15" s="457"/>
      <c r="M15" s="457"/>
      <c r="N15" s="457"/>
      <c r="O15" s="458"/>
      <c r="P15" s="447" t="s">
        <v>358</v>
      </c>
      <c r="Q15" s="220"/>
    </row>
    <row r="16" spans="1:28" x14ac:dyDescent="0.25">
      <c r="A16" s="179" t="s">
        <v>359</v>
      </c>
      <c r="B16" s="180"/>
      <c r="C16" s="180"/>
      <c r="D16" s="181">
        <v>1</v>
      </c>
      <c r="E16" s="180"/>
      <c r="F16" s="180"/>
      <c r="G16" s="180"/>
      <c r="I16" s="226" t="s">
        <v>360</v>
      </c>
      <c r="J16" s="226" t="s">
        <v>361</v>
      </c>
      <c r="K16" s="227" t="s">
        <v>362</v>
      </c>
      <c r="L16" s="228" t="s">
        <v>363</v>
      </c>
      <c r="M16" s="229" t="s">
        <v>364</v>
      </c>
      <c r="N16" s="227" t="s">
        <v>365</v>
      </c>
      <c r="O16" s="230" t="s">
        <v>366</v>
      </c>
      <c r="P16" s="447"/>
      <c r="Q16" t="s">
        <v>358</v>
      </c>
    </row>
    <row r="17" spans="1:19" x14ac:dyDescent="0.25">
      <c r="A17" s="183" t="s">
        <v>367</v>
      </c>
      <c r="B17" s="180"/>
      <c r="C17" s="180"/>
      <c r="D17" s="184">
        <f>VLOOKUP(D16,A42:M49,D23+1)</f>
        <v>366.2</v>
      </c>
      <c r="E17" s="180"/>
      <c r="F17" s="180"/>
      <c r="G17" s="180"/>
      <c r="H17" t="s">
        <v>72</v>
      </c>
      <c r="I17" s="182"/>
      <c r="J17" s="182"/>
      <c r="K17" s="182">
        <v>0</v>
      </c>
      <c r="L17" s="182"/>
      <c r="M17" s="182">
        <v>0</v>
      </c>
      <c r="N17" s="200">
        <f t="shared" ref="N17:N37" si="9">(K17-M17)</f>
        <v>0</v>
      </c>
      <c r="O17" s="224">
        <f>N17*P17</f>
        <v>0</v>
      </c>
      <c r="P17" s="225">
        <v>1</v>
      </c>
      <c r="Q17" s="221">
        <v>0.7</v>
      </c>
    </row>
    <row r="18" spans="1:19" ht="20.25" customHeight="1" x14ac:dyDescent="0.25">
      <c r="A18" s="179" t="s">
        <v>368</v>
      </c>
      <c r="B18" s="180"/>
      <c r="C18" s="180"/>
      <c r="D18" s="186">
        <v>0</v>
      </c>
      <c r="E18" s="4" t="s">
        <v>369</v>
      </c>
      <c r="F18" s="184">
        <f>HLOOKUP(D23,B12:M14,2)</f>
        <v>52</v>
      </c>
      <c r="G18" s="184">
        <f>IF(D18&gt;F18,D21,F18)</f>
        <v>52</v>
      </c>
      <c r="I18" s="187"/>
      <c r="J18" s="182"/>
      <c r="K18" s="182">
        <v>0</v>
      </c>
      <c r="L18" s="182"/>
      <c r="M18" s="182">
        <v>0</v>
      </c>
      <c r="N18" s="200">
        <f t="shared" si="9"/>
        <v>0</v>
      </c>
      <c r="O18" s="224">
        <f t="shared" ref="O18:O37" si="10">N18*P18</f>
        <v>0</v>
      </c>
      <c r="P18" s="225">
        <v>1</v>
      </c>
      <c r="Q18" s="222">
        <v>0.8</v>
      </c>
    </row>
    <row r="19" spans="1:19" ht="21.75" customHeight="1" x14ac:dyDescent="0.25">
      <c r="A19" s="188" t="s">
        <v>370</v>
      </c>
      <c r="B19" s="180"/>
      <c r="C19" s="180"/>
      <c r="D19" s="189">
        <f>IF(AND(D18&lt;D17,D18&gt;F18),D18,IF(D18&lt;F18,F18,D17))</f>
        <v>52</v>
      </c>
      <c r="E19" s="4"/>
      <c r="F19" s="184"/>
      <c r="G19" s="184"/>
      <c r="I19" s="182"/>
      <c r="J19" s="182"/>
      <c r="K19" s="182">
        <v>0</v>
      </c>
      <c r="L19" s="182"/>
      <c r="M19" s="182">
        <v>0</v>
      </c>
      <c r="N19" s="200">
        <f t="shared" si="9"/>
        <v>0</v>
      </c>
      <c r="O19" s="224">
        <f t="shared" si="10"/>
        <v>0</v>
      </c>
      <c r="P19" s="225">
        <v>1</v>
      </c>
      <c r="Q19" s="222">
        <v>0.9</v>
      </c>
    </row>
    <row r="20" spans="1:19" x14ac:dyDescent="0.25">
      <c r="A20" s="188" t="s">
        <v>343</v>
      </c>
      <c r="B20" s="180"/>
      <c r="C20" s="180"/>
      <c r="D20" s="190">
        <f>VLOOKUP(D23,O3:Q14,3)</f>
        <v>110.4</v>
      </c>
      <c r="E20" s="4"/>
      <c r="F20" s="184"/>
      <c r="G20" s="184"/>
      <c r="I20" s="182"/>
      <c r="J20" s="182"/>
      <c r="K20" s="182">
        <v>0</v>
      </c>
      <c r="L20" s="191"/>
      <c r="M20" s="182">
        <v>0</v>
      </c>
      <c r="N20" s="200">
        <f t="shared" si="9"/>
        <v>0</v>
      </c>
      <c r="O20" s="224">
        <f t="shared" si="10"/>
        <v>0</v>
      </c>
      <c r="P20" s="225">
        <v>1</v>
      </c>
      <c r="Q20" s="222">
        <v>1</v>
      </c>
    </row>
    <row r="21" spans="1:19" x14ac:dyDescent="0.25">
      <c r="A21" s="188" t="s">
        <v>371</v>
      </c>
      <c r="B21" s="180"/>
      <c r="C21" s="180"/>
      <c r="D21" s="190">
        <f>D19+D20</f>
        <v>162.4</v>
      </c>
      <c r="E21" s="4"/>
      <c r="F21" s="184"/>
      <c r="G21" s="184"/>
      <c r="I21" s="182"/>
      <c r="J21" s="182"/>
      <c r="K21" s="182">
        <v>0</v>
      </c>
      <c r="L21" s="191"/>
      <c r="M21" s="182">
        <v>0</v>
      </c>
      <c r="N21" s="200">
        <f t="shared" si="9"/>
        <v>0</v>
      </c>
      <c r="O21" s="224">
        <f t="shared" si="10"/>
        <v>0</v>
      </c>
      <c r="P21" s="225">
        <v>1</v>
      </c>
    </row>
    <row r="22" spans="1:19" x14ac:dyDescent="0.25">
      <c r="A22" s="188" t="s">
        <v>372</v>
      </c>
      <c r="D22" s="194">
        <f>O59</f>
        <v>0</v>
      </c>
      <c r="E22" s="4" t="s">
        <v>369</v>
      </c>
      <c r="F22" s="184">
        <f>HLOOKUP(D23,B12:M14,3)</f>
        <v>350</v>
      </c>
      <c r="G22" s="184">
        <f>IF(D22&gt;F22,D22,F22)</f>
        <v>350</v>
      </c>
      <c r="I22" s="182"/>
      <c r="J22" s="182"/>
      <c r="K22" s="182">
        <v>0</v>
      </c>
      <c r="L22" s="191"/>
      <c r="M22" s="182">
        <v>0</v>
      </c>
      <c r="N22" s="200">
        <f t="shared" si="9"/>
        <v>0</v>
      </c>
      <c r="O22" s="224">
        <f t="shared" si="10"/>
        <v>0</v>
      </c>
      <c r="P22" s="225">
        <v>1</v>
      </c>
    </row>
    <row r="23" spans="1:19" x14ac:dyDescent="0.25">
      <c r="A23" s="188" t="s">
        <v>373</v>
      </c>
      <c r="D23" s="181">
        <v>1</v>
      </c>
      <c r="I23" s="182"/>
      <c r="J23" s="182"/>
      <c r="K23" s="182">
        <v>0</v>
      </c>
      <c r="L23" s="191"/>
      <c r="M23" s="182">
        <v>0</v>
      </c>
      <c r="N23" s="200">
        <f t="shared" si="9"/>
        <v>0</v>
      </c>
      <c r="O23" s="224">
        <f t="shared" si="10"/>
        <v>0</v>
      </c>
      <c r="P23" s="225">
        <v>1</v>
      </c>
    </row>
    <row r="24" spans="1:19" hidden="1" x14ac:dyDescent="0.25">
      <c r="A24" s="183" t="s">
        <v>348</v>
      </c>
      <c r="B24">
        <f>HLOOKUP(D23,B5:M8,2,FALSE)</f>
        <v>0.04</v>
      </c>
      <c r="D24" s="180"/>
      <c r="I24" s="182"/>
      <c r="J24" s="182"/>
      <c r="K24" s="182">
        <v>0</v>
      </c>
      <c r="L24" s="191"/>
      <c r="M24" s="182">
        <v>0</v>
      </c>
      <c r="N24" s="200">
        <f t="shared" si="9"/>
        <v>0</v>
      </c>
      <c r="O24" s="224">
        <f t="shared" si="10"/>
        <v>0</v>
      </c>
      <c r="P24" s="225">
        <v>1</v>
      </c>
    </row>
    <row r="25" spans="1:19" hidden="1" x14ac:dyDescent="0.25">
      <c r="A25" s="183" t="s">
        <v>337</v>
      </c>
      <c r="B25">
        <f>HLOOKUP(D23,B5:M8,3)</f>
        <v>4.9910000000000004E-4</v>
      </c>
      <c r="D25" s="180"/>
      <c r="I25" s="182"/>
      <c r="J25" s="182"/>
      <c r="K25" s="182">
        <v>0</v>
      </c>
      <c r="L25" s="191"/>
      <c r="M25" s="182">
        <v>0</v>
      </c>
      <c r="N25" s="200">
        <f t="shared" si="9"/>
        <v>0</v>
      </c>
      <c r="O25" s="224">
        <f t="shared" si="10"/>
        <v>0</v>
      </c>
      <c r="P25" s="225">
        <v>1</v>
      </c>
    </row>
    <row r="26" spans="1:19" hidden="1" x14ac:dyDescent="0.25">
      <c r="A26" s="183" t="s">
        <v>350</v>
      </c>
      <c r="B26">
        <f>HLOOKUP(D23,B5:M8,4)</f>
        <v>4.6199999999999998E-5</v>
      </c>
      <c r="D26" s="180"/>
      <c r="I26" s="182"/>
      <c r="J26" s="182"/>
      <c r="K26" s="182">
        <v>0</v>
      </c>
      <c r="L26" s="191"/>
      <c r="M26" s="182">
        <v>0</v>
      </c>
      <c r="N26" s="200">
        <f t="shared" si="9"/>
        <v>0</v>
      </c>
      <c r="O26" s="224">
        <f t="shared" si="10"/>
        <v>0</v>
      </c>
      <c r="P26" s="225">
        <v>1</v>
      </c>
      <c r="Q26" s="223"/>
      <c r="R26" s="195"/>
    </row>
    <row r="27" spans="1:19" hidden="1" x14ac:dyDescent="0.25">
      <c r="A27" s="183"/>
      <c r="D27" s="180"/>
      <c r="I27" s="182"/>
      <c r="J27" s="182"/>
      <c r="K27" s="182">
        <v>0</v>
      </c>
      <c r="L27" s="191"/>
      <c r="M27" s="182">
        <v>0</v>
      </c>
      <c r="N27" s="200">
        <f t="shared" si="9"/>
        <v>0</v>
      </c>
      <c r="O27" s="224">
        <f t="shared" si="10"/>
        <v>0</v>
      </c>
      <c r="P27" s="225">
        <v>1</v>
      </c>
      <c r="Q27" s="3"/>
      <c r="R27" s="3"/>
    </row>
    <row r="28" spans="1:19" hidden="1" x14ac:dyDescent="0.25">
      <c r="A28" s="188" t="s">
        <v>374</v>
      </c>
      <c r="D28" s="180"/>
      <c r="I28" s="182"/>
      <c r="J28" s="182"/>
      <c r="K28" s="182"/>
      <c r="L28" s="191"/>
      <c r="M28" s="192"/>
      <c r="N28" s="200">
        <f t="shared" si="9"/>
        <v>0</v>
      </c>
      <c r="O28" s="224">
        <f t="shared" si="10"/>
        <v>0</v>
      </c>
      <c r="P28" s="225">
        <v>1</v>
      </c>
    </row>
    <row r="29" spans="1:19" hidden="1" x14ac:dyDescent="0.25">
      <c r="A29" t="s">
        <v>375</v>
      </c>
      <c r="B29" s="196">
        <f>B24+B25*G18+B26*G22</f>
        <v>8.2123200000000007E-2</v>
      </c>
      <c r="I29" s="182"/>
      <c r="J29" s="182"/>
      <c r="K29" s="182"/>
      <c r="L29" s="191"/>
      <c r="M29" s="192"/>
      <c r="N29" s="200">
        <f t="shared" si="9"/>
        <v>0</v>
      </c>
      <c r="O29" s="224">
        <f t="shared" si="10"/>
        <v>0</v>
      </c>
      <c r="P29" s="225">
        <v>1</v>
      </c>
      <c r="S29">
        <v>3</v>
      </c>
    </row>
    <row r="30" spans="1:19" hidden="1" x14ac:dyDescent="0.25">
      <c r="A30" t="s">
        <v>376</v>
      </c>
      <c r="B30" s="196">
        <f>B29*G22</f>
        <v>28.743120000000001</v>
      </c>
      <c r="I30" s="182"/>
      <c r="J30" s="182"/>
      <c r="K30" s="182"/>
      <c r="L30" s="191"/>
      <c r="M30" s="192"/>
      <c r="N30" s="200">
        <f t="shared" si="9"/>
        <v>0</v>
      </c>
      <c r="O30" s="224">
        <f t="shared" si="10"/>
        <v>0</v>
      </c>
      <c r="P30" s="225">
        <v>1</v>
      </c>
    </row>
    <row r="31" spans="1:19" hidden="1" x14ac:dyDescent="0.25">
      <c r="A31" t="s">
        <v>377</v>
      </c>
      <c r="B31" s="196">
        <f>G18-B30</f>
        <v>23.256879999999999</v>
      </c>
      <c r="I31" s="182"/>
      <c r="J31" s="182"/>
      <c r="K31" s="182"/>
      <c r="L31" s="191"/>
      <c r="M31" s="192"/>
      <c r="N31" s="200">
        <f t="shared" si="9"/>
        <v>0</v>
      </c>
      <c r="O31" s="224">
        <f t="shared" si="10"/>
        <v>0</v>
      </c>
      <c r="P31" s="225">
        <v>1</v>
      </c>
    </row>
    <row r="32" spans="1:19" hidden="1" x14ac:dyDescent="0.25">
      <c r="A32" t="s">
        <v>378</v>
      </c>
      <c r="B32" s="196">
        <f>1.15*B31</f>
        <v>26.745411999999998</v>
      </c>
      <c r="I32" s="459" t="s">
        <v>379</v>
      </c>
      <c r="J32" s="460"/>
      <c r="K32" s="460"/>
      <c r="L32" s="461"/>
      <c r="M32" s="193"/>
      <c r="N32" s="200"/>
      <c r="O32" s="224">
        <f t="shared" si="10"/>
        <v>0</v>
      </c>
      <c r="P32" s="225">
        <v>1</v>
      </c>
    </row>
    <row r="33" spans="1:21" x14ac:dyDescent="0.25">
      <c r="A33" t="s">
        <v>380</v>
      </c>
      <c r="B33" s="196"/>
      <c r="I33" s="191" t="s">
        <v>189</v>
      </c>
      <c r="J33" s="191"/>
      <c r="K33" s="191"/>
      <c r="L33" s="191"/>
      <c r="M33" s="192"/>
      <c r="N33" s="200">
        <f t="shared" si="9"/>
        <v>0</v>
      </c>
      <c r="O33" s="224">
        <f t="shared" si="10"/>
        <v>0</v>
      </c>
      <c r="P33" s="225">
        <v>1</v>
      </c>
    </row>
    <row r="34" spans="1:21" s="197" customFormat="1" ht="34.5" customHeight="1" x14ac:dyDescent="0.65">
      <c r="A34" s="133" t="s">
        <v>381</v>
      </c>
      <c r="B34" s="214">
        <f>ROUND(IF(B32&gt;9.49999999,B32,0),0)</f>
        <v>27</v>
      </c>
      <c r="D34" s="389">
        <f>B34</f>
        <v>27</v>
      </c>
      <c r="I34" s="182"/>
      <c r="J34" s="182"/>
      <c r="K34" s="191"/>
      <c r="L34" s="191"/>
      <c r="M34" s="192"/>
      <c r="N34" s="200">
        <f t="shared" si="9"/>
        <v>0</v>
      </c>
      <c r="O34" s="224">
        <f t="shared" si="10"/>
        <v>0</v>
      </c>
      <c r="P34" s="225">
        <v>1</v>
      </c>
      <c r="U34" s="238"/>
    </row>
    <row r="35" spans="1:21" x14ac:dyDescent="0.25">
      <c r="I35" s="182"/>
      <c r="J35" s="182"/>
      <c r="K35" s="191"/>
      <c r="L35" s="191"/>
      <c r="M35" s="192"/>
      <c r="N35" s="200">
        <f t="shared" si="9"/>
        <v>0</v>
      </c>
      <c r="O35" s="224">
        <f t="shared" si="10"/>
        <v>0</v>
      </c>
      <c r="P35" s="225">
        <v>1</v>
      </c>
    </row>
    <row r="36" spans="1:21" x14ac:dyDescent="0.25">
      <c r="I36" s="199"/>
      <c r="J36" s="199"/>
      <c r="K36" s="182"/>
      <c r="L36" s="191"/>
      <c r="M36" s="192"/>
      <c r="N36" s="200">
        <f t="shared" si="9"/>
        <v>0</v>
      </c>
      <c r="O36" s="224">
        <f t="shared" si="10"/>
        <v>0</v>
      </c>
      <c r="P36" s="225">
        <v>1</v>
      </c>
    </row>
    <row r="37" spans="1:21" x14ac:dyDescent="0.25">
      <c r="I37" s="182"/>
      <c r="J37" s="182"/>
      <c r="K37" s="182"/>
      <c r="L37" s="191"/>
      <c r="M37" s="192"/>
      <c r="N37" s="200">
        <f t="shared" si="9"/>
        <v>0</v>
      </c>
      <c r="O37" s="224">
        <f t="shared" si="10"/>
        <v>0</v>
      </c>
      <c r="P37" s="225">
        <v>1</v>
      </c>
    </row>
    <row r="38" spans="1:21" x14ac:dyDescent="0.25">
      <c r="I38" s="226"/>
      <c r="J38" s="226"/>
      <c r="K38" s="226"/>
      <c r="L38" s="231"/>
      <c r="M38" s="202"/>
      <c r="N38" s="192"/>
      <c r="O38" s="224"/>
      <c r="P38" s="185"/>
    </row>
    <row r="39" spans="1:21" ht="27.75" customHeight="1" x14ac:dyDescent="0.35">
      <c r="A39" s="465" t="s">
        <v>382</v>
      </c>
      <c r="B39" s="465"/>
      <c r="C39" s="465"/>
      <c r="D39" s="465"/>
      <c r="I39" s="462" t="s">
        <v>383</v>
      </c>
      <c r="J39" s="463"/>
      <c r="K39" s="463"/>
      <c r="L39" s="464"/>
      <c r="M39" s="231"/>
      <c r="N39" s="200" t="s">
        <v>384</v>
      </c>
      <c r="O39" s="185"/>
      <c r="P39" s="185"/>
    </row>
    <row r="40" spans="1:21" ht="21" x14ac:dyDescent="0.35">
      <c r="A40" s="244" t="s">
        <v>385</v>
      </c>
      <c r="B40" s="245">
        <f>HLOOKUP(D23,S4:AB10,7)+2</f>
        <v>933.74605156681901</v>
      </c>
      <c r="C40" s="246"/>
      <c r="D40" s="247"/>
      <c r="I40" s="201"/>
      <c r="J40" s="201"/>
      <c r="K40" s="201"/>
      <c r="L40" s="231"/>
      <c r="M40" s="231"/>
      <c r="N40" s="202"/>
      <c r="O40" s="185"/>
      <c r="P40" s="216"/>
    </row>
    <row r="41" spans="1:21" hidden="1" x14ac:dyDescent="0.25">
      <c r="A41" s="242" t="s">
        <v>386</v>
      </c>
      <c r="B41" s="110"/>
      <c r="C41" s="110"/>
      <c r="D41" s="248"/>
      <c r="I41" s="201"/>
      <c r="J41" s="201"/>
      <c r="K41" s="201"/>
      <c r="L41" s="231"/>
      <c r="M41" s="231"/>
      <c r="N41" s="202"/>
      <c r="O41" s="185"/>
      <c r="P41" s="216"/>
    </row>
    <row r="42" spans="1:21" hidden="1" x14ac:dyDescent="0.25">
      <c r="A42" s="240"/>
      <c r="B42" s="240">
        <v>1</v>
      </c>
      <c r="C42" s="240">
        <v>2</v>
      </c>
      <c r="D42" s="240">
        <v>3</v>
      </c>
      <c r="E42" s="205">
        <v>4</v>
      </c>
      <c r="F42" s="203">
        <v>5</v>
      </c>
      <c r="G42" s="204">
        <v>6</v>
      </c>
      <c r="H42" s="205">
        <v>7</v>
      </c>
      <c r="I42" s="204">
        <v>8</v>
      </c>
      <c r="J42" s="205">
        <v>9</v>
      </c>
      <c r="K42" s="204">
        <v>10</v>
      </c>
      <c r="L42" s="204">
        <v>11</v>
      </c>
      <c r="M42" s="205">
        <v>12</v>
      </c>
      <c r="N42" s="202"/>
      <c r="O42" s="185"/>
      <c r="P42" s="216"/>
    </row>
    <row r="43" spans="1:21" hidden="1" x14ac:dyDescent="0.25">
      <c r="A43" s="240">
        <v>1</v>
      </c>
      <c r="B43" s="299">
        <v>366.2</v>
      </c>
      <c r="C43" s="299">
        <v>444.8</v>
      </c>
      <c r="D43" s="299">
        <v>530.6</v>
      </c>
      <c r="E43" s="300">
        <v>618.4</v>
      </c>
      <c r="F43" s="301">
        <v>706.2</v>
      </c>
      <c r="G43" s="301">
        <v>790</v>
      </c>
      <c r="H43" s="301">
        <v>873.8</v>
      </c>
      <c r="I43" s="301">
        <v>957.6</v>
      </c>
      <c r="J43" s="301">
        <v>1041.4000000000001</v>
      </c>
      <c r="K43" s="301">
        <v>1125.2</v>
      </c>
      <c r="L43" s="301">
        <v>1209</v>
      </c>
      <c r="M43" s="301">
        <v>1292.8</v>
      </c>
      <c r="N43" s="202"/>
      <c r="O43" s="185"/>
      <c r="P43" s="216"/>
    </row>
    <row r="44" spans="1:21" hidden="1" x14ac:dyDescent="0.25">
      <c r="A44" s="240">
        <v>2</v>
      </c>
      <c r="B44" s="299">
        <v>411.2</v>
      </c>
      <c r="C44" s="299">
        <v>498.8</v>
      </c>
      <c r="D44" s="299">
        <v>593.6</v>
      </c>
      <c r="E44" s="300">
        <v>693.4</v>
      </c>
      <c r="F44" s="301">
        <v>791.2</v>
      </c>
      <c r="G44" s="301">
        <v>886</v>
      </c>
      <c r="H44" s="301">
        <v>980.8</v>
      </c>
      <c r="I44" s="301">
        <v>1075.5999999999999</v>
      </c>
      <c r="J44" s="301">
        <v>1170.4000000000001</v>
      </c>
      <c r="K44" s="301">
        <v>1265.2</v>
      </c>
      <c r="L44" s="301">
        <v>1360</v>
      </c>
      <c r="M44" s="301">
        <v>1454.8</v>
      </c>
      <c r="N44" s="202"/>
      <c r="O44" s="185"/>
      <c r="P44" s="216"/>
    </row>
    <row r="45" spans="1:21" hidden="1" x14ac:dyDescent="0.25">
      <c r="A45" s="240">
        <v>3</v>
      </c>
      <c r="B45" s="299">
        <v>457.2</v>
      </c>
      <c r="C45" s="299">
        <v>554.79999999999995</v>
      </c>
      <c r="D45" s="299">
        <v>660.6</v>
      </c>
      <c r="E45" s="300">
        <v>770.4</v>
      </c>
      <c r="F45" s="301">
        <v>880.2</v>
      </c>
      <c r="G45" s="301">
        <v>987</v>
      </c>
      <c r="H45" s="301">
        <v>1093.8</v>
      </c>
      <c r="I45" s="301">
        <v>1200.5999999999999</v>
      </c>
      <c r="J45" s="301">
        <v>1307.4000000000001</v>
      </c>
      <c r="K45" s="301">
        <v>1414.2</v>
      </c>
      <c r="L45" s="301">
        <v>1521</v>
      </c>
      <c r="M45" s="301">
        <v>1627.8</v>
      </c>
      <c r="N45" s="202"/>
      <c r="O45" s="185"/>
      <c r="P45" s="216"/>
    </row>
    <row r="46" spans="1:21" hidden="1" x14ac:dyDescent="0.25">
      <c r="A46" s="240">
        <v>4</v>
      </c>
      <c r="B46" s="299">
        <v>510.2</v>
      </c>
      <c r="C46" s="299">
        <v>619.79999999999995</v>
      </c>
      <c r="D46" s="299">
        <v>737.6</v>
      </c>
      <c r="E46" s="300">
        <v>859.4</v>
      </c>
      <c r="F46" s="301">
        <v>983.2</v>
      </c>
      <c r="G46" s="301">
        <v>1102</v>
      </c>
      <c r="H46" s="301">
        <v>1220.8</v>
      </c>
      <c r="I46" s="301">
        <v>1339.6</v>
      </c>
      <c r="J46" s="301">
        <v>1458.4</v>
      </c>
      <c r="K46" s="301">
        <v>1577.2</v>
      </c>
      <c r="L46" s="301">
        <v>1696</v>
      </c>
      <c r="M46" s="301">
        <v>1814.8</v>
      </c>
      <c r="N46" s="202"/>
      <c r="O46" s="185"/>
      <c r="P46" s="216"/>
    </row>
    <row r="47" spans="1:21" hidden="1" x14ac:dyDescent="0.25">
      <c r="A47" s="240">
        <v>5</v>
      </c>
      <c r="B47" s="299">
        <v>559.20000000000005</v>
      </c>
      <c r="C47" s="299">
        <v>678.8</v>
      </c>
      <c r="D47" s="299">
        <v>807.6</v>
      </c>
      <c r="E47" s="300">
        <v>943.4</v>
      </c>
      <c r="F47" s="301">
        <v>1077.2</v>
      </c>
      <c r="G47" s="301">
        <v>1206</v>
      </c>
      <c r="H47" s="301">
        <v>1334.8</v>
      </c>
      <c r="I47" s="301">
        <v>1463.6</v>
      </c>
      <c r="J47" s="301">
        <v>1592.4</v>
      </c>
      <c r="K47" s="301">
        <v>1721.2</v>
      </c>
      <c r="L47" s="301">
        <v>1850</v>
      </c>
      <c r="M47" s="301">
        <v>1978.8</v>
      </c>
      <c r="N47" s="202"/>
      <c r="O47" s="185"/>
      <c r="P47" s="216"/>
    </row>
    <row r="48" spans="1:21" hidden="1" x14ac:dyDescent="0.25">
      <c r="A48" s="240">
        <v>6</v>
      </c>
      <c r="B48" s="299">
        <v>610.20000000000005</v>
      </c>
      <c r="C48" s="299">
        <v>740.8</v>
      </c>
      <c r="D48" s="299">
        <v>882.6</v>
      </c>
      <c r="E48" s="300">
        <v>1029.4000000000001</v>
      </c>
      <c r="F48" s="301">
        <v>1176.2</v>
      </c>
      <c r="G48" s="301">
        <v>1324</v>
      </c>
      <c r="H48" s="301">
        <v>1471.8</v>
      </c>
      <c r="I48" s="301">
        <v>1619.6</v>
      </c>
      <c r="J48" s="301">
        <v>1767.4</v>
      </c>
      <c r="K48" s="301">
        <v>1915.2</v>
      </c>
      <c r="L48" s="301">
        <v>2063</v>
      </c>
      <c r="M48" s="301">
        <v>2210.8000000000002</v>
      </c>
      <c r="N48" s="202"/>
      <c r="O48" s="185"/>
      <c r="P48" s="216"/>
    </row>
    <row r="49" spans="1:18" hidden="1" x14ac:dyDescent="0.25">
      <c r="A49" s="240">
        <v>7</v>
      </c>
      <c r="B49" s="299">
        <v>670.2</v>
      </c>
      <c r="C49" s="299">
        <v>812.8</v>
      </c>
      <c r="D49" s="299">
        <v>966.6</v>
      </c>
      <c r="E49" s="300">
        <v>1129.4000000000001</v>
      </c>
      <c r="F49" s="301">
        <v>1290.2</v>
      </c>
      <c r="G49" s="302">
        <v>1452</v>
      </c>
      <c r="H49" s="302">
        <v>1613.8</v>
      </c>
      <c r="I49" s="302">
        <v>1775.6</v>
      </c>
      <c r="J49" s="302">
        <v>1937.4</v>
      </c>
      <c r="K49" s="302">
        <v>2099.1999999999998</v>
      </c>
      <c r="L49" s="302">
        <v>2261</v>
      </c>
      <c r="M49" s="302">
        <v>2422.8000000000002</v>
      </c>
      <c r="N49" s="202"/>
      <c r="O49" s="185"/>
      <c r="P49" s="216"/>
    </row>
    <row r="50" spans="1:18" x14ac:dyDescent="0.25">
      <c r="A50" s="243" t="s">
        <v>387</v>
      </c>
      <c r="B50" s="239">
        <f>(B$40/9*10)+100</f>
        <v>1137.4956128520212</v>
      </c>
      <c r="C50" s="241" t="s">
        <v>388</v>
      </c>
      <c r="D50" s="248"/>
      <c r="I50" s="201"/>
      <c r="J50" s="201"/>
      <c r="K50" s="201"/>
      <c r="L50" s="231"/>
      <c r="M50" s="231"/>
      <c r="N50" s="202"/>
      <c r="O50" s="185"/>
      <c r="P50" s="216"/>
    </row>
    <row r="51" spans="1:18" ht="13.5" customHeight="1" x14ac:dyDescent="0.25">
      <c r="A51" s="243" t="s">
        <v>389</v>
      </c>
      <c r="B51" s="239">
        <f>(B$40/8*10)+100</f>
        <v>1267.1825644585238</v>
      </c>
      <c r="C51" s="241" t="s">
        <v>388</v>
      </c>
      <c r="D51" s="248"/>
      <c r="I51" s="201"/>
      <c r="J51" s="201"/>
      <c r="K51" s="201"/>
      <c r="L51" s="231"/>
      <c r="M51" s="231"/>
      <c r="N51" s="202"/>
      <c r="O51" s="185"/>
      <c r="P51" s="216"/>
    </row>
    <row r="52" spans="1:18" x14ac:dyDescent="0.25">
      <c r="A52" s="243" t="s">
        <v>390</v>
      </c>
      <c r="B52" s="239">
        <f>(B$40/7*10)+100</f>
        <v>1433.9229308097415</v>
      </c>
      <c r="C52" s="241" t="s">
        <v>388</v>
      </c>
      <c r="D52" s="248"/>
      <c r="I52" s="448" t="s">
        <v>391</v>
      </c>
      <c r="J52" s="449"/>
      <c r="K52" s="449"/>
      <c r="L52" s="449"/>
      <c r="M52" s="450"/>
      <c r="N52" s="202"/>
      <c r="O52" s="206">
        <f>R52</f>
        <v>0</v>
      </c>
      <c r="P52" s="218"/>
      <c r="Q52" s="24" t="b">
        <v>0</v>
      </c>
      <c r="R52" s="24">
        <f>IF(Q52=TRUE,110,0)</f>
        <v>0</v>
      </c>
    </row>
    <row r="53" spans="1:18" x14ac:dyDescent="0.25">
      <c r="C53" s="189"/>
      <c r="I53" s="207" t="s">
        <v>392</v>
      </c>
      <c r="J53" s="208"/>
      <c r="K53" s="209"/>
      <c r="L53" s="232"/>
      <c r="M53" s="232"/>
      <c r="N53" s="202"/>
      <c r="O53" s="206">
        <f>R53</f>
        <v>0</v>
      </c>
      <c r="P53" s="218"/>
      <c r="Q53" s="24" t="b">
        <v>0</v>
      </c>
      <c r="R53" s="24">
        <f>IF(Q53=TRUE,150,0)</f>
        <v>0</v>
      </c>
    </row>
    <row r="54" spans="1:18" ht="30.75" customHeight="1" x14ac:dyDescent="0.25">
      <c r="I54" s="451" t="s">
        <v>393</v>
      </c>
      <c r="J54" s="452"/>
      <c r="K54" s="452"/>
      <c r="L54" s="452"/>
      <c r="M54" s="453"/>
      <c r="N54" s="202"/>
      <c r="O54" s="206">
        <f>R54</f>
        <v>0</v>
      </c>
      <c r="P54" s="218"/>
      <c r="Q54" s="24" t="b">
        <v>0</v>
      </c>
      <c r="R54" s="24">
        <f>IF(Q54=TRUE,150,0)</f>
        <v>0</v>
      </c>
    </row>
    <row r="55" spans="1:18" ht="30.75" customHeight="1" x14ac:dyDescent="0.25">
      <c r="I55" s="466" t="s">
        <v>394</v>
      </c>
      <c r="J55" s="467"/>
      <c r="K55" s="467"/>
      <c r="L55" s="467"/>
      <c r="M55" s="468"/>
      <c r="N55" s="202"/>
      <c r="O55" s="206">
        <f>R55</f>
        <v>0</v>
      </c>
      <c r="P55" s="218"/>
      <c r="Q55" s="24" t="b">
        <v>0</v>
      </c>
      <c r="R55" s="24">
        <f>IF(Q55=TRUE,75,0)</f>
        <v>0</v>
      </c>
    </row>
    <row r="56" spans="1:18" ht="29.25" customHeight="1" x14ac:dyDescent="0.25">
      <c r="I56" s="451" t="s">
        <v>395</v>
      </c>
      <c r="J56" s="452"/>
      <c r="K56" s="452"/>
      <c r="L56" s="452"/>
      <c r="M56" s="453"/>
      <c r="N56" s="210" t="s">
        <v>396</v>
      </c>
      <c r="O56" s="198">
        <v>0</v>
      </c>
      <c r="P56" s="217"/>
    </row>
    <row r="57" spans="1:18" x14ac:dyDescent="0.25">
      <c r="I57" s="448" t="s">
        <v>397</v>
      </c>
      <c r="J57" s="449"/>
      <c r="K57" s="449"/>
      <c r="L57" s="449"/>
      <c r="M57" s="450"/>
      <c r="N57" s="210" t="s">
        <v>396</v>
      </c>
      <c r="O57" s="198">
        <v>0</v>
      </c>
      <c r="P57" s="217"/>
    </row>
    <row r="58" spans="1:18" x14ac:dyDescent="0.25">
      <c r="I58" s="448" t="s">
        <v>398</v>
      </c>
      <c r="J58" s="450"/>
      <c r="K58" s="209"/>
      <c r="L58" s="232"/>
      <c r="M58" s="232"/>
      <c r="N58" s="210" t="s">
        <v>396</v>
      </c>
      <c r="O58" s="198">
        <v>0</v>
      </c>
      <c r="P58" s="217"/>
    </row>
    <row r="59" spans="1:18" ht="15.75" x14ac:dyDescent="0.25">
      <c r="I59" s="469" t="s">
        <v>399</v>
      </c>
      <c r="J59" s="470"/>
      <c r="K59" s="471"/>
      <c r="L59" s="233"/>
      <c r="M59" s="233"/>
      <c r="N59" s="211"/>
      <c r="O59" s="212">
        <f>O17+O18+O19+O20+O21+O22+O23+O34+O35+O36+O37-O40-O50-O51-O52-O53-O54-O55-O56-O57-O58</f>
        <v>0</v>
      </c>
      <c r="P59" s="219"/>
    </row>
  </sheetData>
  <sheetProtection algorithmName="SHA-512" hashValue="KiWVqx6AyJoVh6lVugvXidATvK7hwlFPqOY27yqlTjJblHYQlWJSVmSWmblKIfS3ZrRo4UPmrqnlCNvN2yem7w==" saltValue="DLHRMdqium/XDFpxkQseGQ==" spinCount="100000" sheet="1" selectLockedCells="1"/>
  <mergeCells count="14">
    <mergeCell ref="P15:P16"/>
    <mergeCell ref="I32:L32"/>
    <mergeCell ref="I59:K59"/>
    <mergeCell ref="I52:M52"/>
    <mergeCell ref="I54:M54"/>
    <mergeCell ref="I55:M55"/>
    <mergeCell ref="I56:M56"/>
    <mergeCell ref="I57:M57"/>
    <mergeCell ref="I58:J58"/>
    <mergeCell ref="A39:D39"/>
    <mergeCell ref="I39:L39"/>
    <mergeCell ref="A1:O1"/>
    <mergeCell ref="A15:G15"/>
    <mergeCell ref="I15:O15"/>
  </mergeCells>
  <dataValidations count="1">
    <dataValidation type="list" allowBlank="1" showInputMessage="1" showErrorMessage="1" sqref="P17:P37" xr:uid="{00000000-0002-0000-0700-000000000000}">
      <formula1>$Q$17:$Q$20</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2945" r:id="rId3" name="Check Box 1">
              <controlPr defaultSize="0" autoFill="0" autoLine="0" autoPict="0">
                <anchor moveWithCells="1">
                  <from>
                    <xdr:col>13</xdr:col>
                    <xdr:colOff>228600</xdr:colOff>
                    <xdr:row>51</xdr:row>
                    <xdr:rowOff>28575</xdr:rowOff>
                  </from>
                  <to>
                    <xdr:col>13</xdr:col>
                    <xdr:colOff>542925</xdr:colOff>
                    <xdr:row>51</xdr:row>
                    <xdr:rowOff>152400</xdr:rowOff>
                  </to>
                </anchor>
              </controlPr>
            </control>
          </mc:Choice>
        </mc:AlternateContent>
        <mc:AlternateContent xmlns:mc="http://schemas.openxmlformats.org/markup-compatibility/2006">
          <mc:Choice Requires="x14">
            <control shapeId="82946" r:id="rId4" name="Check Box 2">
              <controlPr defaultSize="0" autoFill="0" autoLine="0" autoPict="0">
                <anchor moveWithCells="1">
                  <from>
                    <xdr:col>13</xdr:col>
                    <xdr:colOff>238125</xdr:colOff>
                    <xdr:row>51</xdr:row>
                    <xdr:rowOff>180975</xdr:rowOff>
                  </from>
                  <to>
                    <xdr:col>13</xdr:col>
                    <xdr:colOff>542925</xdr:colOff>
                    <xdr:row>53</xdr:row>
                    <xdr:rowOff>28575</xdr:rowOff>
                  </to>
                </anchor>
              </controlPr>
            </control>
          </mc:Choice>
        </mc:AlternateContent>
        <mc:AlternateContent xmlns:mc="http://schemas.openxmlformats.org/markup-compatibility/2006">
          <mc:Choice Requires="x14">
            <control shapeId="82947" r:id="rId5" name="Check Box 3">
              <controlPr defaultSize="0" autoFill="0" autoLine="0" autoPict="0">
                <anchor moveWithCells="1">
                  <from>
                    <xdr:col>13</xdr:col>
                    <xdr:colOff>228600</xdr:colOff>
                    <xdr:row>53</xdr:row>
                    <xdr:rowOff>85725</xdr:rowOff>
                  </from>
                  <to>
                    <xdr:col>13</xdr:col>
                    <xdr:colOff>533400</xdr:colOff>
                    <xdr:row>53</xdr:row>
                    <xdr:rowOff>314325</xdr:rowOff>
                  </to>
                </anchor>
              </controlPr>
            </control>
          </mc:Choice>
        </mc:AlternateContent>
        <mc:AlternateContent xmlns:mc="http://schemas.openxmlformats.org/markup-compatibility/2006">
          <mc:Choice Requires="x14">
            <control shapeId="82948" r:id="rId6" name="Check Box 4">
              <controlPr defaultSize="0" autoFill="0" autoLine="0" autoPict="0">
                <anchor moveWithCells="1">
                  <from>
                    <xdr:col>13</xdr:col>
                    <xdr:colOff>238125</xdr:colOff>
                    <xdr:row>54</xdr:row>
                    <xdr:rowOff>123825</xdr:rowOff>
                  </from>
                  <to>
                    <xdr:col>13</xdr:col>
                    <xdr:colOff>542925</xdr:colOff>
                    <xdr:row>54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KiZ-alleinerziehend</vt:lpstr>
      <vt:lpstr>SGB II alleinstehend -erziehend</vt:lpstr>
      <vt:lpstr>KiZ-Paare mit Kindern</vt:lpstr>
      <vt:lpstr>SGB II Paare m. und o. Kinder</vt:lpstr>
      <vt:lpstr>Hilfstabelle Absetzungen</vt:lpstr>
      <vt:lpstr>Hilfe RBS-Wechsel</vt:lpstr>
      <vt:lpstr>Wohng. 25 und 26</vt:lpstr>
      <vt:lpstr>Wohng. 23 und 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Sozialrecht_Justament</dc:creator>
  <cp:keywords/>
  <dc:description/>
  <cp:lastModifiedBy>Sozialrecht_Justament</cp:lastModifiedBy>
  <cp:revision/>
  <cp:lastPrinted>2023-06-28T12:16:44Z</cp:lastPrinted>
  <dcterms:created xsi:type="dcterms:W3CDTF">2020-11-10T08:29:16Z</dcterms:created>
  <dcterms:modified xsi:type="dcterms:W3CDTF">2026-02-11T06:44:53Z</dcterms:modified>
  <cp:category/>
  <cp:contentStatus/>
</cp:coreProperties>
</file>